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ev\corrida-training-system\docs\"/>
    </mc:Choice>
  </mc:AlternateContent>
  <xr:revisionPtr revIDLastSave="0" documentId="13_ncr:1_{314B3A7E-7193-47DB-83B7-29B77074D0AA}" xr6:coauthVersionLast="47" xr6:coauthVersionMax="47" xr10:uidLastSave="{00000000-0000-0000-0000-000000000000}"/>
  <bookViews>
    <workbookView xWindow="-120" yWindow="-120" windowWidth="29040" windowHeight="15720" activeTab="3" xr2:uid="{00000000-000D-0000-FFFF-FFFF00000000}"/>
  </bookViews>
  <sheets>
    <sheet name="Anotações Gerais" sheetId="1" r:id="rId1"/>
    <sheet name="Avaliação" sheetId="2" r:id="rId2"/>
    <sheet name="Meta calórica" sheetId="3" r:id="rId3"/>
    <sheet name="Metabólica" sheetId="4" r:id="rId4"/>
    <sheet name="Imagens" sheetId="5" r:id="rId5"/>
    <sheet name="Laudo" sheetId="6" r:id="rId6"/>
    <sheet name="BD" sheetId="7" state="hidden" r:id="rId7"/>
    <sheet name="BD tratado" sheetId="8" state="hidden" r:id="rId8"/>
    <sheet name="Tabela de Referencia" sheetId="9" r:id="rId9"/>
    <sheet name="Planilha1" sheetId="16" r:id="rId10"/>
    <sheet name="Páginas impressão" sheetId="10" r:id="rId11"/>
    <sheet name="Configuração cabeçalho" sheetId="11" state="hidden" r:id="rId12"/>
    <sheet name="Dados de Base novo" sheetId="12" r:id="rId13"/>
    <sheet name="Graficos" sheetId="13" state="hidden" r:id="rId14"/>
    <sheet name="Notas de Atualização" sheetId="14" state="hidden" r:id="rId15"/>
    <sheet name="Exportar" sheetId="15"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16" l="1"/>
  <c r="C74" i="16"/>
  <c r="C73" i="16"/>
  <c r="C72" i="16"/>
  <c r="C71" i="16"/>
  <c r="C70" i="16"/>
  <c r="C68" i="16"/>
  <c r="C69" i="16"/>
  <c r="H17" i="15"/>
  <c r="G17" i="15"/>
  <c r="F17" i="15"/>
  <c r="E17" i="15"/>
  <c r="D17" i="15"/>
  <c r="C17" i="15"/>
  <c r="B17" i="15"/>
  <c r="H16" i="15"/>
  <c r="G16" i="15"/>
  <c r="F16" i="15"/>
  <c r="E16" i="15"/>
  <c r="D16" i="15"/>
  <c r="C16" i="15"/>
  <c r="B16" i="15"/>
  <c r="H15" i="15"/>
  <c r="G15" i="15"/>
  <c r="F15" i="15"/>
  <c r="E15" i="15"/>
  <c r="D15" i="15"/>
  <c r="C15" i="15"/>
  <c r="B15" i="15"/>
  <c r="H14" i="15"/>
  <c r="G14" i="15"/>
  <c r="F14" i="15"/>
  <c r="E14" i="15"/>
  <c r="D14" i="15"/>
  <c r="C14" i="15"/>
  <c r="B14" i="15"/>
  <c r="H13" i="15"/>
  <c r="G13" i="15"/>
  <c r="F13" i="15"/>
  <c r="E13" i="15"/>
  <c r="D13" i="15"/>
  <c r="C13" i="15"/>
  <c r="B13" i="15"/>
  <c r="H12" i="15"/>
  <c r="G12" i="15"/>
  <c r="F12" i="15"/>
  <c r="E12" i="15"/>
  <c r="D12" i="15"/>
  <c r="C12" i="15"/>
  <c r="B12" i="15"/>
  <c r="H11" i="15"/>
  <c r="G11" i="15"/>
  <c r="F11" i="15"/>
  <c r="E11" i="15"/>
  <c r="D11" i="15"/>
  <c r="C11" i="15"/>
  <c r="B11" i="15"/>
  <c r="H10" i="15"/>
  <c r="G10" i="15"/>
  <c r="F10" i="15"/>
  <c r="E10" i="15"/>
  <c r="D10" i="15"/>
  <c r="C10" i="15"/>
  <c r="B10" i="15"/>
  <c r="H9" i="15"/>
  <c r="G9" i="15"/>
  <c r="F9" i="15"/>
  <c r="E9" i="15"/>
  <c r="D9" i="15"/>
  <c r="C9" i="15"/>
  <c r="B9" i="15"/>
  <c r="H8" i="15"/>
  <c r="G8" i="15"/>
  <c r="F8" i="15"/>
  <c r="E8" i="15"/>
  <c r="D8" i="15"/>
  <c r="C8" i="15"/>
  <c r="B8" i="15"/>
  <c r="H7" i="15"/>
  <c r="G7" i="15"/>
  <c r="F7" i="15"/>
  <c r="E7" i="15"/>
  <c r="D7" i="15"/>
  <c r="C7" i="15"/>
  <c r="B7" i="15"/>
  <c r="H6" i="15"/>
  <c r="G6" i="15"/>
  <c r="F6" i="15"/>
  <c r="E6" i="15"/>
  <c r="D6" i="15"/>
  <c r="C6" i="15"/>
  <c r="B6" i="15"/>
  <c r="H5" i="15"/>
  <c r="G5" i="15"/>
  <c r="F5" i="15"/>
  <c r="E5" i="15"/>
  <c r="D5" i="15"/>
  <c r="C5" i="15"/>
  <c r="B5" i="15"/>
  <c r="H4" i="15"/>
  <c r="G4" i="15"/>
  <c r="F4" i="15"/>
  <c r="E4" i="15"/>
  <c r="D4" i="15"/>
  <c r="C4" i="15"/>
  <c r="B4" i="15"/>
  <c r="H3" i="15"/>
  <c r="G3" i="15"/>
  <c r="F3" i="15"/>
  <c r="E3" i="15"/>
  <c r="D3" i="15"/>
  <c r="C3" i="15"/>
  <c r="B3" i="15"/>
  <c r="H2" i="15"/>
  <c r="G2" i="15"/>
  <c r="F2" i="15"/>
  <c r="E2" i="15"/>
  <c r="D2" i="15"/>
  <c r="C2" i="15"/>
  <c r="B2" i="15"/>
  <c r="B356" i="13"/>
  <c r="A356" i="13"/>
  <c r="D356" i="13" s="1"/>
  <c r="D355" i="13"/>
  <c r="B355" i="13"/>
  <c r="A355" i="13"/>
  <c r="D354" i="13"/>
  <c r="B354" i="13"/>
  <c r="A354" i="13"/>
  <c r="B353" i="13"/>
  <c r="A353" i="13"/>
  <c r="D353" i="13" s="1"/>
  <c r="D352" i="13"/>
  <c r="B352" i="13"/>
  <c r="A352" i="13"/>
  <c r="B351" i="13"/>
  <c r="A351" i="13"/>
  <c r="D351" i="13" s="1"/>
  <c r="D350" i="13"/>
  <c r="B350" i="13"/>
  <c r="A350" i="13"/>
  <c r="B349" i="13"/>
  <c r="A349" i="13"/>
  <c r="D349" i="13" s="1"/>
  <c r="B348" i="13"/>
  <c r="A348" i="13"/>
  <c r="D348" i="13" s="1"/>
  <c r="D347" i="13"/>
  <c r="B347" i="13"/>
  <c r="A347" i="13"/>
  <c r="D346" i="13"/>
  <c r="B346" i="13"/>
  <c r="A346" i="13"/>
  <c r="B345" i="13"/>
  <c r="A345" i="13"/>
  <c r="D345" i="13" s="1"/>
  <c r="D344" i="13"/>
  <c r="B344" i="13"/>
  <c r="A344" i="13"/>
  <c r="B343" i="13"/>
  <c r="A343" i="13"/>
  <c r="D343" i="13" s="1"/>
  <c r="D342" i="13"/>
  <c r="B342" i="13"/>
  <c r="A342" i="13"/>
  <c r="B341" i="13"/>
  <c r="A341" i="13"/>
  <c r="B340" i="13"/>
  <c r="A340" i="13"/>
  <c r="B339" i="13"/>
  <c r="A339" i="13"/>
  <c r="C328" i="13"/>
  <c r="A324" i="13"/>
  <c r="A323" i="13"/>
  <c r="A322" i="13"/>
  <c r="C320" i="13"/>
  <c r="B320" i="13"/>
  <c r="C319" i="13"/>
  <c r="B319" i="13"/>
  <c r="C318" i="13"/>
  <c r="B318" i="13"/>
  <c r="C317" i="13"/>
  <c r="B317" i="13"/>
  <c r="D316" i="13"/>
  <c r="D315" i="13"/>
  <c r="F311" i="13"/>
  <c r="A305" i="13"/>
  <c r="H286" i="13"/>
  <c r="A278" i="13"/>
  <c r="B277" i="13"/>
  <c r="A277" i="13"/>
  <c r="A266" i="13"/>
  <c r="A265" i="13"/>
  <c r="B264" i="13"/>
  <c r="A264" i="13"/>
  <c r="A263" i="13"/>
  <c r="A262" i="13"/>
  <c r="A261" i="13"/>
  <c r="A260" i="13"/>
  <c r="A259" i="13"/>
  <c r="A258" i="13"/>
  <c r="B257" i="13"/>
  <c r="A257" i="13"/>
  <c r="A256" i="13"/>
  <c r="B255" i="13"/>
  <c r="B275" i="13" s="1"/>
  <c r="A255" i="13"/>
  <c r="B254" i="13"/>
  <c r="B281" i="13" s="1"/>
  <c r="B262" i="13" s="1"/>
  <c r="A250" i="13"/>
  <c r="A249" i="13"/>
  <c r="A248" i="13"/>
  <c r="A247" i="13"/>
  <c r="A246" i="13"/>
  <c r="A226" i="13"/>
  <c r="A225" i="13"/>
  <c r="A224" i="13"/>
  <c r="A223" i="13"/>
  <c r="A222" i="13"/>
  <c r="N217" i="13"/>
  <c r="L217" i="13"/>
  <c r="I217" i="13"/>
  <c r="A216" i="13"/>
  <c r="A215" i="13"/>
  <c r="A193" i="13"/>
  <c r="A213" i="13" s="1"/>
  <c r="A192" i="13"/>
  <c r="A214" i="13" s="1"/>
  <c r="A191" i="13"/>
  <c r="A190" i="13"/>
  <c r="P189" i="13"/>
  <c r="P217" i="13" s="1"/>
  <c r="O189" i="13"/>
  <c r="O217" i="13" s="1"/>
  <c r="N189" i="13"/>
  <c r="M189" i="13"/>
  <c r="M217" i="13" s="1"/>
  <c r="L189" i="13"/>
  <c r="K189" i="13"/>
  <c r="K217" i="13" s="1"/>
  <c r="J189" i="13"/>
  <c r="J217" i="13" s="1"/>
  <c r="I189" i="13"/>
  <c r="H189" i="13"/>
  <c r="H217" i="13" s="1"/>
  <c r="G189" i="13"/>
  <c r="G217" i="13" s="1"/>
  <c r="A189" i="13"/>
  <c r="A217" i="13" s="1"/>
  <c r="A161" i="13"/>
  <c r="A181" i="13" s="1"/>
  <c r="A160" i="13"/>
  <c r="A182" i="13" s="1"/>
  <c r="A159" i="13"/>
  <c r="A183" i="13" s="1"/>
  <c r="A158" i="13"/>
  <c r="A184" i="13" s="1"/>
  <c r="A157" i="13"/>
  <c r="A185" i="13" s="1"/>
  <c r="B149" i="13"/>
  <c r="B146" i="13"/>
  <c r="A139" i="13"/>
  <c r="A138" i="13"/>
  <c r="A137" i="13"/>
  <c r="A136" i="13"/>
  <c r="A135" i="13"/>
  <c r="A107" i="13"/>
  <c r="A106" i="13"/>
  <c r="A105" i="13"/>
  <c r="A104" i="13"/>
  <c r="A103" i="13"/>
  <c r="A78" i="13"/>
  <c r="A75" i="13"/>
  <c r="A74" i="13"/>
  <c r="A73" i="13"/>
  <c r="A72" i="13"/>
  <c r="A49" i="13"/>
  <c r="A16" i="13"/>
  <c r="G3" i="12"/>
  <c r="I3" i="15" s="1"/>
  <c r="E5" i="11"/>
  <c r="O23" i="10"/>
  <c r="N23" i="10" s="1"/>
  <c r="O22" i="10"/>
  <c r="O21" i="10"/>
  <c r="O20" i="10"/>
  <c r="N21" i="10" s="1"/>
  <c r="O19" i="10"/>
  <c r="N19" i="10" s="1"/>
  <c r="O18" i="10"/>
  <c r="N18" i="10" s="1"/>
  <c r="O17" i="10"/>
  <c r="N17" i="10"/>
  <c r="O16" i="10"/>
  <c r="N16" i="10"/>
  <c r="O15" i="10"/>
  <c r="N15" i="10" s="1"/>
  <c r="O14" i="10"/>
  <c r="N14" i="10" s="1"/>
  <c r="O13" i="10"/>
  <c r="O12" i="10"/>
  <c r="N13" i="10" s="1"/>
  <c r="O11" i="10"/>
  <c r="N11" i="10" s="1"/>
  <c r="O10" i="10"/>
  <c r="N10" i="10" s="1"/>
  <c r="O9" i="10"/>
  <c r="O8" i="10"/>
  <c r="N8" i="10" s="1"/>
  <c r="O7" i="10"/>
  <c r="N7" i="10" s="1"/>
  <c r="O6" i="10"/>
  <c r="N6" i="10" s="1"/>
  <c r="O5" i="10"/>
  <c r="N5" i="10"/>
  <c r="O4" i="10"/>
  <c r="O3" i="10"/>
  <c r="O2" i="10"/>
  <c r="B1" i="10"/>
  <c r="A123" i="8"/>
  <c r="A83" i="8"/>
  <c r="K4" i="8"/>
  <c r="H3" i="8"/>
  <c r="S2" i="8"/>
  <c r="S148" i="8" s="1"/>
  <c r="R2" i="8"/>
  <c r="R148" i="8" s="1"/>
  <c r="K2" i="8"/>
  <c r="K148" i="8" s="1"/>
  <c r="J2" i="8"/>
  <c r="J148" i="8" s="1"/>
  <c r="P166" i="7"/>
  <c r="O166" i="7"/>
  <c r="N166" i="7"/>
  <c r="M166" i="7"/>
  <c r="L166" i="7"/>
  <c r="K166" i="7"/>
  <c r="J166" i="7"/>
  <c r="I166" i="7"/>
  <c r="H166" i="7"/>
  <c r="G166" i="7"/>
  <c r="F166" i="7"/>
  <c r="E166" i="7"/>
  <c r="D166" i="7"/>
  <c r="C166" i="7"/>
  <c r="B166" i="7"/>
  <c r="A166" i="7"/>
  <c r="A166" i="8" s="1"/>
  <c r="P165" i="7"/>
  <c r="O165" i="7"/>
  <c r="N165" i="7"/>
  <c r="M165" i="7"/>
  <c r="L165" i="7"/>
  <c r="K165" i="7"/>
  <c r="J165" i="7"/>
  <c r="I165" i="7"/>
  <c r="H165" i="7"/>
  <c r="G165" i="7"/>
  <c r="F165" i="7"/>
  <c r="E165" i="7"/>
  <c r="D165" i="7"/>
  <c r="C165" i="7"/>
  <c r="B165" i="7"/>
  <c r="A165" i="7"/>
  <c r="A165" i="8" s="1"/>
  <c r="P164" i="7"/>
  <c r="O164" i="7"/>
  <c r="N164" i="7"/>
  <c r="M164" i="7"/>
  <c r="L164" i="7"/>
  <c r="K164" i="7"/>
  <c r="J164" i="7"/>
  <c r="I164" i="7"/>
  <c r="H164" i="7"/>
  <c r="G164" i="7"/>
  <c r="F164" i="7"/>
  <c r="E164" i="7"/>
  <c r="D164" i="7"/>
  <c r="C164" i="7"/>
  <c r="B164" i="7"/>
  <c r="A164" i="7"/>
  <c r="A164" i="8" s="1"/>
  <c r="P163" i="7"/>
  <c r="O163" i="7"/>
  <c r="N163" i="7"/>
  <c r="M163" i="7"/>
  <c r="L163" i="7"/>
  <c r="K163" i="7"/>
  <c r="J163" i="7"/>
  <c r="I163" i="7"/>
  <c r="H163" i="7"/>
  <c r="G163" i="7"/>
  <c r="F163" i="7"/>
  <c r="E163" i="7"/>
  <c r="D163" i="7"/>
  <c r="C163" i="7"/>
  <c r="B163" i="7"/>
  <c r="A163" i="7"/>
  <c r="A163" i="8" s="1"/>
  <c r="P162" i="7"/>
  <c r="O162" i="7"/>
  <c r="N162" i="7"/>
  <c r="M162" i="7"/>
  <c r="L162" i="7"/>
  <c r="K162" i="7"/>
  <c r="J162" i="7"/>
  <c r="I162" i="7"/>
  <c r="H162" i="7"/>
  <c r="G162" i="7"/>
  <c r="F162" i="7"/>
  <c r="E162" i="7"/>
  <c r="D162" i="7"/>
  <c r="C162" i="7"/>
  <c r="B162" i="7"/>
  <c r="A162" i="7"/>
  <c r="A162" i="8" s="1"/>
  <c r="P161" i="7"/>
  <c r="O161" i="7"/>
  <c r="N161" i="7"/>
  <c r="M161" i="7"/>
  <c r="L161" i="7"/>
  <c r="K161" i="7"/>
  <c r="J161" i="7"/>
  <c r="I161" i="7"/>
  <c r="H161" i="7"/>
  <c r="G161" i="7"/>
  <c r="F161" i="7"/>
  <c r="E161" i="7"/>
  <c r="D161" i="7"/>
  <c r="C161" i="7"/>
  <c r="B161" i="7"/>
  <c r="A161" i="7"/>
  <c r="A161" i="8" s="1"/>
  <c r="P160" i="7"/>
  <c r="O160" i="7"/>
  <c r="N160" i="7"/>
  <c r="M160" i="7"/>
  <c r="L160" i="7"/>
  <c r="K160" i="7"/>
  <c r="J160" i="7"/>
  <c r="I160" i="7"/>
  <c r="H160" i="7"/>
  <c r="G160" i="7"/>
  <c r="F160" i="7"/>
  <c r="E160" i="7"/>
  <c r="D160" i="7"/>
  <c r="C160" i="7"/>
  <c r="B160" i="7"/>
  <c r="A160" i="7"/>
  <c r="A160" i="8" s="1"/>
  <c r="P159" i="7"/>
  <c r="O159" i="7"/>
  <c r="N159" i="7"/>
  <c r="M159" i="7"/>
  <c r="L159" i="7"/>
  <c r="K159" i="7"/>
  <c r="J159" i="7"/>
  <c r="I159" i="7"/>
  <c r="H159" i="7"/>
  <c r="G159" i="7"/>
  <c r="F159" i="7"/>
  <c r="E159" i="7"/>
  <c r="D159" i="7"/>
  <c r="C159" i="7"/>
  <c r="B159" i="7"/>
  <c r="A159" i="7"/>
  <c r="A159" i="8" s="1"/>
  <c r="P158" i="7"/>
  <c r="O158" i="7"/>
  <c r="N158" i="7"/>
  <c r="M158" i="7"/>
  <c r="L158" i="7"/>
  <c r="K158" i="7"/>
  <c r="J158" i="7"/>
  <c r="I158" i="7"/>
  <c r="H158" i="7"/>
  <c r="G158" i="7"/>
  <c r="F158" i="7"/>
  <c r="E158" i="7"/>
  <c r="D158" i="7"/>
  <c r="C158" i="7"/>
  <c r="B158" i="7"/>
  <c r="A158" i="7"/>
  <c r="A158" i="8" s="1"/>
  <c r="P157" i="7"/>
  <c r="O157" i="7"/>
  <c r="N157" i="7"/>
  <c r="M157" i="7"/>
  <c r="L157" i="7"/>
  <c r="K157" i="7"/>
  <c r="J157" i="7"/>
  <c r="I157" i="7"/>
  <c r="H157" i="7"/>
  <c r="G157" i="7"/>
  <c r="F157" i="7"/>
  <c r="E157" i="7"/>
  <c r="D157" i="7"/>
  <c r="C157" i="7"/>
  <c r="B157" i="7"/>
  <c r="A157" i="7"/>
  <c r="A157" i="8" s="1"/>
  <c r="A154" i="7"/>
  <c r="A154" i="8" s="1"/>
  <c r="A153" i="7"/>
  <c r="A153" i="8" s="1"/>
  <c r="A152" i="7"/>
  <c r="A152" i="8" s="1"/>
  <c r="A151" i="7"/>
  <c r="A151" i="8" s="1"/>
  <c r="A150" i="7"/>
  <c r="A150" i="8" s="1"/>
  <c r="D145" i="7"/>
  <c r="C145" i="7"/>
  <c r="B145" i="7"/>
  <c r="A145" i="7"/>
  <c r="A145" i="8" s="1"/>
  <c r="D144" i="7"/>
  <c r="C144" i="7"/>
  <c r="B144" i="7"/>
  <c r="A144" i="7"/>
  <c r="A144" i="8" s="1"/>
  <c r="D143" i="7"/>
  <c r="C143" i="7"/>
  <c r="B143" i="7"/>
  <c r="A143" i="7"/>
  <c r="A143" i="8" s="1"/>
  <c r="D142" i="7"/>
  <c r="C142" i="7"/>
  <c r="B142" i="7"/>
  <c r="A142" i="7"/>
  <c r="A142" i="8" s="1"/>
  <c r="D141" i="7"/>
  <c r="C141" i="7"/>
  <c r="B141" i="7"/>
  <c r="A141" i="7"/>
  <c r="A141" i="8" s="1"/>
  <c r="D140" i="7"/>
  <c r="C140" i="7"/>
  <c r="B140" i="7"/>
  <c r="A140" i="7"/>
  <c r="A140" i="8" s="1"/>
  <c r="A139" i="7"/>
  <c r="A139" i="8" s="1"/>
  <c r="D138" i="7"/>
  <c r="C138" i="7"/>
  <c r="B138" i="7"/>
  <c r="A138" i="7"/>
  <c r="A138" i="8" s="1"/>
  <c r="D137" i="7"/>
  <c r="C137" i="7"/>
  <c r="B137" i="7"/>
  <c r="A137" i="7"/>
  <c r="A137" i="8" s="1"/>
  <c r="A136" i="7"/>
  <c r="A136" i="8" s="1"/>
  <c r="A133" i="7"/>
  <c r="A133" i="8" s="1"/>
  <c r="A132" i="7"/>
  <c r="A132" i="8" s="1"/>
  <c r="A131" i="7"/>
  <c r="A131" i="8" s="1"/>
  <c r="A130" i="7"/>
  <c r="A130" i="8" s="1"/>
  <c r="A129" i="7"/>
  <c r="A129" i="8" s="1"/>
  <c r="A128" i="7"/>
  <c r="A128" i="8" s="1"/>
  <c r="P127" i="7"/>
  <c r="O127" i="7"/>
  <c r="N127" i="7"/>
  <c r="M127" i="7"/>
  <c r="L127" i="7"/>
  <c r="K127" i="7"/>
  <c r="J127" i="7"/>
  <c r="I127" i="7"/>
  <c r="H127" i="7"/>
  <c r="G127" i="7"/>
  <c r="F127" i="7"/>
  <c r="E127" i="7"/>
  <c r="D127" i="7"/>
  <c r="C127" i="7"/>
  <c r="B127" i="7"/>
  <c r="A127" i="7"/>
  <c r="A127" i="8" s="1"/>
  <c r="P126" i="7"/>
  <c r="O126" i="7"/>
  <c r="N126" i="7"/>
  <c r="M126" i="7"/>
  <c r="L126" i="7"/>
  <c r="K126" i="7"/>
  <c r="J126" i="7"/>
  <c r="I126" i="7"/>
  <c r="H126" i="7"/>
  <c r="G126" i="7"/>
  <c r="F126" i="7"/>
  <c r="E126" i="7"/>
  <c r="D126" i="7"/>
  <c r="C126" i="7"/>
  <c r="B126" i="7"/>
  <c r="A126" i="7"/>
  <c r="A126" i="8" s="1"/>
  <c r="P125" i="7"/>
  <c r="O125" i="7"/>
  <c r="N125" i="7"/>
  <c r="M125" i="7"/>
  <c r="L125" i="7"/>
  <c r="K125" i="7"/>
  <c r="J125" i="7"/>
  <c r="I125" i="7"/>
  <c r="H125" i="7"/>
  <c r="G125" i="7"/>
  <c r="F125" i="7"/>
  <c r="E125" i="7"/>
  <c r="D125" i="7"/>
  <c r="C125" i="7"/>
  <c r="B125" i="7"/>
  <c r="A125" i="7"/>
  <c r="A125" i="8" s="1"/>
  <c r="P124" i="7"/>
  <c r="O124" i="7"/>
  <c r="N124" i="7"/>
  <c r="M124" i="7"/>
  <c r="L124" i="7"/>
  <c r="K124" i="7"/>
  <c r="J124" i="7"/>
  <c r="I124" i="7"/>
  <c r="H124" i="7"/>
  <c r="G124" i="7"/>
  <c r="F124" i="7"/>
  <c r="E124" i="7"/>
  <c r="D124" i="7"/>
  <c r="C124" i="7"/>
  <c r="B124" i="7"/>
  <c r="A124" i="7"/>
  <c r="A124" i="8" s="1"/>
  <c r="A120" i="7"/>
  <c r="A120" i="8" s="1"/>
  <c r="A119" i="7"/>
  <c r="A119" i="8" s="1"/>
  <c r="P118" i="7"/>
  <c r="O118" i="7"/>
  <c r="N118" i="7"/>
  <c r="M118" i="7"/>
  <c r="L118" i="7"/>
  <c r="K118" i="7"/>
  <c r="J118" i="7"/>
  <c r="I118" i="7"/>
  <c r="H118" i="7"/>
  <c r="G118" i="7"/>
  <c r="F118" i="7"/>
  <c r="E118" i="7"/>
  <c r="D118" i="7"/>
  <c r="C118" i="7"/>
  <c r="B118" i="7"/>
  <c r="A118" i="7"/>
  <c r="A118" i="8" s="1"/>
  <c r="A116" i="13" s="1"/>
  <c r="P117" i="7"/>
  <c r="O117" i="7"/>
  <c r="N117" i="7"/>
  <c r="M117" i="7"/>
  <c r="L117" i="7"/>
  <c r="K117" i="7"/>
  <c r="J117" i="7"/>
  <c r="I117" i="7"/>
  <c r="H117" i="7"/>
  <c r="G117" i="7"/>
  <c r="F117" i="7"/>
  <c r="E117" i="7"/>
  <c r="D117" i="7"/>
  <c r="C117" i="7"/>
  <c r="B117" i="7"/>
  <c r="A117" i="7"/>
  <c r="A117" i="8" s="1"/>
  <c r="A84" i="13" s="1"/>
  <c r="A115" i="7"/>
  <c r="A115" i="8" s="1"/>
  <c r="A114" i="7"/>
  <c r="A114" i="8" s="1"/>
  <c r="A54" i="13" s="1"/>
  <c r="A113" i="7"/>
  <c r="A113" i="8" s="1"/>
  <c r="P111" i="7"/>
  <c r="O111" i="7"/>
  <c r="N111" i="7"/>
  <c r="M111" i="7"/>
  <c r="L111" i="7"/>
  <c r="K111" i="7"/>
  <c r="J111" i="7"/>
  <c r="I111" i="7"/>
  <c r="H111" i="7"/>
  <c r="G111" i="7"/>
  <c r="F111" i="7"/>
  <c r="E111" i="7"/>
  <c r="D111" i="7"/>
  <c r="C111" i="7"/>
  <c r="B111" i="7"/>
  <c r="A111" i="7"/>
  <c r="A111" i="8" s="1"/>
  <c r="A21" i="13" s="1"/>
  <c r="P110" i="7"/>
  <c r="O110" i="7"/>
  <c r="N110" i="7"/>
  <c r="M110" i="7"/>
  <c r="L110" i="7"/>
  <c r="K110" i="7"/>
  <c r="J110" i="7"/>
  <c r="I110" i="7"/>
  <c r="H110" i="7"/>
  <c r="G110" i="7"/>
  <c r="F110" i="7"/>
  <c r="E110" i="7"/>
  <c r="D110" i="7"/>
  <c r="C110" i="7"/>
  <c r="B110" i="7"/>
  <c r="A110" i="7"/>
  <c r="A110" i="8" s="1"/>
  <c r="A20" i="13" s="1"/>
  <c r="P109" i="7"/>
  <c r="O109" i="7"/>
  <c r="N109" i="7"/>
  <c r="M109" i="7"/>
  <c r="L109" i="7"/>
  <c r="K109" i="7"/>
  <c r="J109" i="7"/>
  <c r="I109" i="7"/>
  <c r="H109" i="7"/>
  <c r="G109" i="7"/>
  <c r="F109" i="7"/>
  <c r="E109" i="7"/>
  <c r="D109" i="7"/>
  <c r="C109" i="7"/>
  <c r="B109" i="7"/>
  <c r="A109" i="7"/>
  <c r="A109" i="8" s="1"/>
  <c r="A19" i="13" s="1"/>
  <c r="P108" i="7"/>
  <c r="O108" i="7"/>
  <c r="N108" i="7"/>
  <c r="M108" i="7"/>
  <c r="L108" i="7"/>
  <c r="K108" i="7"/>
  <c r="J108" i="7"/>
  <c r="I108" i="7"/>
  <c r="H108" i="7"/>
  <c r="G108" i="7"/>
  <c r="F108" i="7"/>
  <c r="E108" i="7"/>
  <c r="D108" i="7"/>
  <c r="C108" i="7"/>
  <c r="B108" i="7"/>
  <c r="A108" i="7"/>
  <c r="A108" i="8" s="1"/>
  <c r="A18" i="13" s="1"/>
  <c r="P107" i="7"/>
  <c r="O107" i="7"/>
  <c r="N107" i="7"/>
  <c r="M107" i="7"/>
  <c r="L107" i="7"/>
  <c r="K107" i="7"/>
  <c r="J107" i="7"/>
  <c r="I107" i="7"/>
  <c r="H107" i="7"/>
  <c r="G107" i="7"/>
  <c r="F107" i="7"/>
  <c r="E107" i="7"/>
  <c r="D107" i="7"/>
  <c r="C107" i="7"/>
  <c r="B107" i="7"/>
  <c r="A107" i="7"/>
  <c r="A107" i="8" s="1"/>
  <c r="A17" i="13" s="1"/>
  <c r="P105" i="7"/>
  <c r="O105" i="7"/>
  <c r="N105" i="7"/>
  <c r="M105" i="7"/>
  <c r="L105" i="7"/>
  <c r="K105" i="7"/>
  <c r="J105" i="7"/>
  <c r="I105" i="7"/>
  <c r="H105" i="7"/>
  <c r="G105" i="7"/>
  <c r="F105" i="7"/>
  <c r="E105" i="7"/>
  <c r="D105" i="7"/>
  <c r="C105" i="7"/>
  <c r="B105" i="7"/>
  <c r="A105" i="7"/>
  <c r="A105" i="8" s="1"/>
  <c r="A29" i="13" s="1"/>
  <c r="P104" i="7"/>
  <c r="O104" i="7"/>
  <c r="N104" i="7"/>
  <c r="M104" i="7"/>
  <c r="L104" i="7"/>
  <c r="K104" i="7"/>
  <c r="J104" i="7"/>
  <c r="I104" i="7"/>
  <c r="H104" i="7"/>
  <c r="G104" i="7"/>
  <c r="F104" i="7"/>
  <c r="E104" i="7"/>
  <c r="D104" i="7"/>
  <c r="C104" i="7"/>
  <c r="B104" i="7"/>
  <c r="A104" i="7"/>
  <c r="A104" i="8" s="1"/>
  <c r="A28" i="13" s="1"/>
  <c r="P103" i="7"/>
  <c r="O103" i="7"/>
  <c r="N103" i="7"/>
  <c r="M103" i="7"/>
  <c r="L103" i="7"/>
  <c r="K103" i="7"/>
  <c r="J103" i="7"/>
  <c r="I103" i="7"/>
  <c r="H103" i="7"/>
  <c r="G103" i="7"/>
  <c r="F103" i="7"/>
  <c r="E103" i="7"/>
  <c r="D103" i="7"/>
  <c r="C103" i="7"/>
  <c r="B103" i="7"/>
  <c r="A103" i="7"/>
  <c r="A103" i="8" s="1"/>
  <c r="A27" i="13" s="1"/>
  <c r="P102" i="7"/>
  <c r="O102" i="7"/>
  <c r="N102" i="7"/>
  <c r="M102" i="7"/>
  <c r="L102" i="7"/>
  <c r="K102" i="7"/>
  <c r="J102" i="7"/>
  <c r="I102" i="7"/>
  <c r="H102" i="7"/>
  <c r="G102" i="7"/>
  <c r="F102" i="7"/>
  <c r="E102" i="7"/>
  <c r="D102" i="7"/>
  <c r="C102" i="7"/>
  <c r="B102" i="7"/>
  <c r="A102" i="7"/>
  <c r="A102" i="8" s="1"/>
  <c r="A26" i="13" s="1"/>
  <c r="P101" i="7"/>
  <c r="O101" i="7"/>
  <c r="N101" i="7"/>
  <c r="M101" i="7"/>
  <c r="L101" i="7"/>
  <c r="K101" i="7"/>
  <c r="J101" i="7"/>
  <c r="I101" i="7"/>
  <c r="H101" i="7"/>
  <c r="G101" i="7"/>
  <c r="F101" i="7"/>
  <c r="E101" i="7"/>
  <c r="D101" i="7"/>
  <c r="C101" i="7"/>
  <c r="B101" i="7"/>
  <c r="A101" i="7"/>
  <c r="A101" i="8" s="1"/>
  <c r="A25" i="13" s="1"/>
  <c r="A99" i="7"/>
  <c r="A99" i="8" s="1"/>
  <c r="A46" i="13" s="1"/>
  <c r="P98" i="7"/>
  <c r="O98" i="7"/>
  <c r="N98" i="7"/>
  <c r="M98" i="7"/>
  <c r="L98" i="7"/>
  <c r="K98" i="7"/>
  <c r="J98" i="7"/>
  <c r="I98" i="7"/>
  <c r="H98" i="7"/>
  <c r="G98" i="7"/>
  <c r="F98" i="7"/>
  <c r="E98" i="7"/>
  <c r="D98" i="7"/>
  <c r="C98" i="7"/>
  <c r="B98" i="7"/>
  <c r="A98" i="7"/>
  <c r="A98" i="8" s="1"/>
  <c r="P97" i="7"/>
  <c r="O97" i="7"/>
  <c r="N97" i="7"/>
  <c r="M97" i="7"/>
  <c r="L97" i="7"/>
  <c r="K97" i="7"/>
  <c r="J97" i="7"/>
  <c r="I97" i="7"/>
  <c r="H97" i="7"/>
  <c r="G97" i="7"/>
  <c r="F97" i="7"/>
  <c r="E97" i="7"/>
  <c r="D97" i="7"/>
  <c r="C97" i="7"/>
  <c r="B97" i="7"/>
  <c r="A97" i="7"/>
  <c r="A97" i="8" s="1"/>
  <c r="P96" i="7"/>
  <c r="O96" i="7"/>
  <c r="N96" i="7"/>
  <c r="M96" i="7"/>
  <c r="L96" i="7"/>
  <c r="K96" i="7"/>
  <c r="J96" i="7"/>
  <c r="I96" i="7"/>
  <c r="H96" i="7"/>
  <c r="G96" i="7"/>
  <c r="F96" i="7"/>
  <c r="E96" i="7"/>
  <c r="D96" i="7"/>
  <c r="C96" i="7"/>
  <c r="B96" i="7"/>
  <c r="A96" i="7"/>
  <c r="A96" i="8" s="1"/>
  <c r="P95" i="7"/>
  <c r="O95" i="7"/>
  <c r="N95" i="7"/>
  <c r="M95" i="7"/>
  <c r="L95" i="7"/>
  <c r="K95" i="7"/>
  <c r="J95" i="7"/>
  <c r="I95" i="7"/>
  <c r="H95" i="7"/>
  <c r="G95" i="7"/>
  <c r="F95" i="7"/>
  <c r="E95" i="7"/>
  <c r="D95" i="7"/>
  <c r="C95" i="7"/>
  <c r="B95" i="7"/>
  <c r="A95" i="7"/>
  <c r="A95" i="8" s="1"/>
  <c r="P94" i="7"/>
  <c r="O94" i="7"/>
  <c r="N94" i="7"/>
  <c r="M94" i="7"/>
  <c r="L94" i="7"/>
  <c r="K94" i="7"/>
  <c r="J94" i="7"/>
  <c r="I94" i="7"/>
  <c r="H94" i="7"/>
  <c r="G94" i="7"/>
  <c r="F94" i="7"/>
  <c r="E94" i="7"/>
  <c r="D94" i="7"/>
  <c r="C94" i="7"/>
  <c r="B94" i="7"/>
  <c r="A94" i="7"/>
  <c r="A94" i="8" s="1"/>
  <c r="P93" i="7"/>
  <c r="O93" i="7"/>
  <c r="N93" i="7"/>
  <c r="M93" i="7"/>
  <c r="L93" i="7"/>
  <c r="K93" i="7"/>
  <c r="J93" i="7"/>
  <c r="I93" i="7"/>
  <c r="H93" i="7"/>
  <c r="G93" i="7"/>
  <c r="F93" i="7"/>
  <c r="E93" i="7"/>
  <c r="D93" i="7"/>
  <c r="C93" i="7"/>
  <c r="B93" i="7"/>
  <c r="A93" i="7"/>
  <c r="A93" i="8" s="1"/>
  <c r="P92" i="7"/>
  <c r="O92" i="7"/>
  <c r="N92" i="7"/>
  <c r="M92" i="7"/>
  <c r="L92" i="7"/>
  <c r="K92" i="7"/>
  <c r="J92" i="7"/>
  <c r="I92" i="7"/>
  <c r="H92" i="7"/>
  <c r="G92" i="7"/>
  <c r="F92" i="7"/>
  <c r="E92" i="7"/>
  <c r="D92" i="7"/>
  <c r="C92" i="7"/>
  <c r="B92" i="7"/>
  <c r="A92" i="7"/>
  <c r="A92" i="8" s="1"/>
  <c r="P91" i="7"/>
  <c r="O91" i="7"/>
  <c r="N91" i="7"/>
  <c r="M91" i="7"/>
  <c r="L91" i="7"/>
  <c r="K91" i="7"/>
  <c r="J91" i="7"/>
  <c r="I91" i="7"/>
  <c r="H91" i="7"/>
  <c r="G91" i="7"/>
  <c r="F91" i="7"/>
  <c r="E91" i="7"/>
  <c r="D91" i="7"/>
  <c r="C91" i="7"/>
  <c r="B91" i="7"/>
  <c r="A91" i="7"/>
  <c r="A91" i="8" s="1"/>
  <c r="P90" i="7"/>
  <c r="O90" i="7"/>
  <c r="N90" i="7"/>
  <c r="M90" i="7"/>
  <c r="L90" i="7"/>
  <c r="K90" i="7"/>
  <c r="J90" i="7"/>
  <c r="I90" i="7"/>
  <c r="H90" i="7"/>
  <c r="G90" i="7"/>
  <c r="F90" i="7"/>
  <c r="E90" i="7"/>
  <c r="D90" i="7"/>
  <c r="C90" i="7"/>
  <c r="B90" i="7"/>
  <c r="A90" i="7"/>
  <c r="A90" i="8" s="1"/>
  <c r="A89" i="7"/>
  <c r="A89" i="8" s="1"/>
  <c r="A45" i="13" s="1"/>
  <c r="P88" i="7"/>
  <c r="O88" i="7"/>
  <c r="N88" i="7"/>
  <c r="M88" i="7"/>
  <c r="L88" i="7"/>
  <c r="K88" i="7"/>
  <c r="J88" i="7"/>
  <c r="I88" i="7"/>
  <c r="H88" i="7"/>
  <c r="G88" i="7"/>
  <c r="F88" i="7"/>
  <c r="E88" i="7"/>
  <c r="D88" i="7"/>
  <c r="C88" i="7"/>
  <c r="B88" i="7"/>
  <c r="A88" i="7"/>
  <c r="A88" i="8" s="1"/>
  <c r="P87" i="7"/>
  <c r="O87" i="7"/>
  <c r="N87" i="7"/>
  <c r="M87" i="7"/>
  <c r="L87" i="7"/>
  <c r="K87" i="7"/>
  <c r="J87" i="7"/>
  <c r="I87" i="7"/>
  <c r="H87" i="7"/>
  <c r="G87" i="7"/>
  <c r="F87" i="7"/>
  <c r="E87" i="7"/>
  <c r="D87" i="7"/>
  <c r="C87" i="7"/>
  <c r="B87" i="7"/>
  <c r="A87" i="7"/>
  <c r="A87" i="8" s="1"/>
  <c r="P86" i="7"/>
  <c r="O86" i="7"/>
  <c r="N86" i="7"/>
  <c r="M86" i="7"/>
  <c r="L86" i="7"/>
  <c r="K86" i="7"/>
  <c r="J86" i="7"/>
  <c r="I86" i="7"/>
  <c r="H86" i="7"/>
  <c r="G86" i="7"/>
  <c r="F86" i="7"/>
  <c r="E86" i="7"/>
  <c r="D86" i="7"/>
  <c r="C86" i="7"/>
  <c r="B86" i="7"/>
  <c r="A86" i="7"/>
  <c r="A86" i="8" s="1"/>
  <c r="P85" i="7"/>
  <c r="O85" i="7"/>
  <c r="N85" i="7"/>
  <c r="M85" i="7"/>
  <c r="L85" i="7"/>
  <c r="K85" i="7"/>
  <c r="J85" i="7"/>
  <c r="I85" i="7"/>
  <c r="H85" i="7"/>
  <c r="G85" i="7"/>
  <c r="F85" i="7"/>
  <c r="E85" i="7"/>
  <c r="D85" i="7"/>
  <c r="C85" i="7"/>
  <c r="B85" i="7"/>
  <c r="A85" i="7"/>
  <c r="A85" i="8" s="1"/>
  <c r="P84" i="7"/>
  <c r="O84" i="7"/>
  <c r="N84" i="7"/>
  <c r="M84" i="7"/>
  <c r="L84" i="7"/>
  <c r="K84" i="7"/>
  <c r="J84" i="7"/>
  <c r="I84" i="7"/>
  <c r="H84" i="7"/>
  <c r="G84" i="7"/>
  <c r="F84" i="7"/>
  <c r="E84" i="7"/>
  <c r="D84" i="7"/>
  <c r="C84" i="7"/>
  <c r="B84" i="7"/>
  <c r="A84" i="7"/>
  <c r="A84" i="8" s="1"/>
  <c r="P83" i="7"/>
  <c r="O83" i="7"/>
  <c r="N83" i="7"/>
  <c r="M83" i="7"/>
  <c r="L83" i="7"/>
  <c r="K83" i="7"/>
  <c r="J83" i="7"/>
  <c r="I83" i="7"/>
  <c r="H83" i="7"/>
  <c r="G83" i="7"/>
  <c r="F83" i="7"/>
  <c r="E83" i="7"/>
  <c r="D83" i="7"/>
  <c r="C83" i="7"/>
  <c r="B83" i="7"/>
  <c r="A83" i="7"/>
  <c r="P82" i="7"/>
  <c r="O82" i="7"/>
  <c r="N82" i="7"/>
  <c r="M82" i="7"/>
  <c r="L82" i="7"/>
  <c r="K82" i="7"/>
  <c r="J82" i="7"/>
  <c r="I82" i="7"/>
  <c r="H82" i="7"/>
  <c r="G82" i="7"/>
  <c r="F82" i="7"/>
  <c r="E82" i="7"/>
  <c r="D82" i="7"/>
  <c r="C82" i="7"/>
  <c r="B82" i="7"/>
  <c r="A82" i="7"/>
  <c r="A82" i="8" s="1"/>
  <c r="P81" i="7"/>
  <c r="O81" i="7"/>
  <c r="N81" i="7"/>
  <c r="M81" i="7"/>
  <c r="L81" i="7"/>
  <c r="K81" i="7"/>
  <c r="J81" i="7"/>
  <c r="I81" i="7"/>
  <c r="H81" i="7"/>
  <c r="G81" i="7"/>
  <c r="F81" i="7"/>
  <c r="E81" i="7"/>
  <c r="D81" i="7"/>
  <c r="C81" i="7"/>
  <c r="B81" i="7"/>
  <c r="A81" i="7"/>
  <c r="A81" i="8" s="1"/>
  <c r="P80" i="7"/>
  <c r="O80" i="7"/>
  <c r="N80" i="7"/>
  <c r="M80" i="7"/>
  <c r="L80" i="7"/>
  <c r="K80" i="7"/>
  <c r="J80" i="7"/>
  <c r="I80" i="7"/>
  <c r="H80" i="7"/>
  <c r="G80" i="7"/>
  <c r="F80" i="7"/>
  <c r="E80" i="7"/>
  <c r="D80" i="7"/>
  <c r="C80" i="7"/>
  <c r="B80" i="7"/>
  <c r="A80" i="7"/>
  <c r="A80" i="8" s="1"/>
  <c r="A79" i="7"/>
  <c r="A79" i="8" s="1"/>
  <c r="A44" i="13" s="1"/>
  <c r="P78" i="7"/>
  <c r="O78" i="7"/>
  <c r="N78" i="7"/>
  <c r="M78" i="7"/>
  <c r="L78" i="7"/>
  <c r="K78" i="7"/>
  <c r="J78" i="7"/>
  <c r="I78" i="7"/>
  <c r="H78" i="7"/>
  <c r="G78" i="7"/>
  <c r="F78" i="7"/>
  <c r="E78" i="7"/>
  <c r="D78" i="7"/>
  <c r="C78" i="7"/>
  <c r="B78" i="7"/>
  <c r="A78" i="7"/>
  <c r="A78" i="8" s="1"/>
  <c r="P77" i="7"/>
  <c r="O77" i="7"/>
  <c r="N77" i="7"/>
  <c r="M77" i="7"/>
  <c r="L77" i="7"/>
  <c r="K77" i="7"/>
  <c r="J77" i="7"/>
  <c r="I77" i="7"/>
  <c r="H77" i="7"/>
  <c r="G77" i="7"/>
  <c r="F77" i="7"/>
  <c r="E77" i="7"/>
  <c r="D77" i="7"/>
  <c r="C77" i="7"/>
  <c r="B77" i="7"/>
  <c r="A77" i="7"/>
  <c r="A77" i="8" s="1"/>
  <c r="P76" i="7"/>
  <c r="O76" i="7"/>
  <c r="N76" i="7"/>
  <c r="M76" i="7"/>
  <c r="L76" i="7"/>
  <c r="K76" i="7"/>
  <c r="J76" i="7"/>
  <c r="I76" i="7"/>
  <c r="H76" i="7"/>
  <c r="G76" i="7"/>
  <c r="F76" i="7"/>
  <c r="E76" i="7"/>
  <c r="D76" i="7"/>
  <c r="C76" i="7"/>
  <c r="B76" i="7"/>
  <c r="A76" i="7"/>
  <c r="A76" i="8" s="1"/>
  <c r="P75" i="7"/>
  <c r="O75" i="7"/>
  <c r="N75" i="7"/>
  <c r="M75" i="7"/>
  <c r="L75" i="7"/>
  <c r="K75" i="7"/>
  <c r="J75" i="7"/>
  <c r="I75" i="7"/>
  <c r="H75" i="7"/>
  <c r="G75" i="7"/>
  <c r="F75" i="7"/>
  <c r="E75" i="7"/>
  <c r="D75" i="7"/>
  <c r="C75" i="7"/>
  <c r="B75" i="7"/>
  <c r="A75" i="7"/>
  <c r="A75" i="8" s="1"/>
  <c r="P74" i="7"/>
  <c r="O74" i="7"/>
  <c r="N74" i="7"/>
  <c r="M74" i="7"/>
  <c r="L74" i="7"/>
  <c r="K74" i="7"/>
  <c r="J74" i="7"/>
  <c r="I74" i="7"/>
  <c r="H74" i="7"/>
  <c r="G74" i="7"/>
  <c r="F74" i="7"/>
  <c r="E74" i="7"/>
  <c r="D74" i="7"/>
  <c r="C74" i="7"/>
  <c r="B74" i="7"/>
  <c r="A74" i="7"/>
  <c r="A74" i="8" s="1"/>
  <c r="P73" i="7"/>
  <c r="O73" i="7"/>
  <c r="N73" i="7"/>
  <c r="M73" i="7"/>
  <c r="L73" i="7"/>
  <c r="K73" i="7"/>
  <c r="J73" i="7"/>
  <c r="I73" i="7"/>
  <c r="H73" i="7"/>
  <c r="G73" i="7"/>
  <c r="F73" i="7"/>
  <c r="E73" i="7"/>
  <c r="D73" i="7"/>
  <c r="C73" i="7"/>
  <c r="B73" i="7"/>
  <c r="A73" i="7"/>
  <c r="A73" i="8" s="1"/>
  <c r="P72" i="7"/>
  <c r="O72" i="7"/>
  <c r="N72" i="7"/>
  <c r="M72" i="7"/>
  <c r="L72" i="7"/>
  <c r="K72" i="7"/>
  <c r="J72" i="7"/>
  <c r="I72" i="7"/>
  <c r="H72" i="7"/>
  <c r="G72" i="7"/>
  <c r="F72" i="7"/>
  <c r="E72" i="7"/>
  <c r="D72" i="7"/>
  <c r="C72" i="7"/>
  <c r="B72" i="7"/>
  <c r="A72" i="7"/>
  <c r="A72" i="8" s="1"/>
  <c r="P71" i="7"/>
  <c r="O71" i="7"/>
  <c r="N71" i="7"/>
  <c r="M71" i="7"/>
  <c r="L71" i="7"/>
  <c r="K71" i="7"/>
  <c r="J71" i="7"/>
  <c r="I71" i="7"/>
  <c r="H71" i="7"/>
  <c r="G71" i="7"/>
  <c r="F71" i="7"/>
  <c r="E71" i="7"/>
  <c r="D71" i="7"/>
  <c r="C71" i="7"/>
  <c r="B71" i="7"/>
  <c r="A71" i="7"/>
  <c r="A71" i="8" s="1"/>
  <c r="P70" i="7"/>
  <c r="O70" i="7"/>
  <c r="N70" i="7"/>
  <c r="M70" i="7"/>
  <c r="L70" i="7"/>
  <c r="K70" i="7"/>
  <c r="J70" i="7"/>
  <c r="I70" i="7"/>
  <c r="H70" i="7"/>
  <c r="G70" i="7"/>
  <c r="F70" i="7"/>
  <c r="E70" i="7"/>
  <c r="D70" i="7"/>
  <c r="C70" i="7"/>
  <c r="B70" i="7"/>
  <c r="A70" i="7"/>
  <c r="A70" i="8" s="1"/>
  <c r="A69" i="7"/>
  <c r="A69" i="8" s="1"/>
  <c r="A43" i="13" s="1"/>
  <c r="A68" i="7"/>
  <c r="A68" i="8" s="1"/>
  <c r="A42" i="13" s="1"/>
  <c r="P67" i="7"/>
  <c r="O67" i="7"/>
  <c r="N67" i="7"/>
  <c r="M67" i="7"/>
  <c r="L67" i="7"/>
  <c r="K67" i="7"/>
  <c r="J67" i="7"/>
  <c r="I67" i="7"/>
  <c r="H67" i="7"/>
  <c r="G67" i="7"/>
  <c r="F67" i="7"/>
  <c r="E67" i="7"/>
  <c r="D67" i="7"/>
  <c r="C67" i="7"/>
  <c r="B67" i="7"/>
  <c r="A67" i="7"/>
  <c r="A67" i="8" s="1"/>
  <c r="P66" i="7"/>
  <c r="O66" i="7"/>
  <c r="N66" i="7"/>
  <c r="M66" i="7"/>
  <c r="L66" i="7"/>
  <c r="K66" i="7"/>
  <c r="J66" i="7"/>
  <c r="I66" i="7"/>
  <c r="H66" i="7"/>
  <c r="G66" i="7"/>
  <c r="F66" i="7"/>
  <c r="E66" i="7"/>
  <c r="D66" i="7"/>
  <c r="C66" i="7"/>
  <c r="B66" i="7"/>
  <c r="A66" i="7"/>
  <c r="A66" i="8" s="1"/>
  <c r="P65" i="7"/>
  <c r="O65" i="7"/>
  <c r="N65" i="7"/>
  <c r="M65" i="7"/>
  <c r="L65" i="7"/>
  <c r="K65" i="7"/>
  <c r="J65" i="7"/>
  <c r="I65" i="7"/>
  <c r="H65" i="7"/>
  <c r="G65" i="7"/>
  <c r="F65" i="7"/>
  <c r="E65" i="7"/>
  <c r="D65" i="7"/>
  <c r="C65" i="7"/>
  <c r="B65" i="7"/>
  <c r="A65" i="7"/>
  <c r="A65" i="8" s="1"/>
  <c r="A64" i="7"/>
  <c r="A64" i="8" s="1"/>
  <c r="A41" i="13" s="1"/>
  <c r="P63" i="7"/>
  <c r="O63" i="7"/>
  <c r="N63" i="7"/>
  <c r="M63" i="7"/>
  <c r="L63" i="7"/>
  <c r="K63" i="7"/>
  <c r="J63" i="7"/>
  <c r="I63" i="7"/>
  <c r="H63" i="7"/>
  <c r="G63" i="7"/>
  <c r="F63" i="7"/>
  <c r="E63" i="7"/>
  <c r="D63" i="7"/>
  <c r="C63" i="7"/>
  <c r="B63" i="7"/>
  <c r="A63" i="7"/>
  <c r="A63" i="8" s="1"/>
  <c r="P62" i="7"/>
  <c r="O62" i="7"/>
  <c r="N62" i="7"/>
  <c r="M62" i="7"/>
  <c r="L62" i="7"/>
  <c r="K62" i="7"/>
  <c r="J62" i="7"/>
  <c r="I62" i="7"/>
  <c r="H62" i="7"/>
  <c r="G62" i="7"/>
  <c r="F62" i="7"/>
  <c r="E62" i="7"/>
  <c r="D62" i="7"/>
  <c r="C62" i="7"/>
  <c r="B62" i="7"/>
  <c r="A62" i="7"/>
  <c r="A62" i="8" s="1"/>
  <c r="P61" i="7"/>
  <c r="O61" i="7"/>
  <c r="N61" i="7"/>
  <c r="M61" i="7"/>
  <c r="L61" i="7"/>
  <c r="K61" i="7"/>
  <c r="J61" i="7"/>
  <c r="I61" i="7"/>
  <c r="H61" i="7"/>
  <c r="G61" i="7"/>
  <c r="F61" i="7"/>
  <c r="E61" i="7"/>
  <c r="D61" i="7"/>
  <c r="C61" i="7"/>
  <c r="B61" i="7"/>
  <c r="A61" i="7"/>
  <c r="A61" i="8" s="1"/>
  <c r="A59" i="7"/>
  <c r="A59" i="8" s="1"/>
  <c r="A37" i="13" s="1"/>
  <c r="A58" i="7"/>
  <c r="A58" i="8" s="1"/>
  <c r="A36" i="13" s="1"/>
  <c r="P57" i="7"/>
  <c r="O57" i="7"/>
  <c r="N57" i="7"/>
  <c r="M57" i="7"/>
  <c r="L57" i="7"/>
  <c r="K57" i="7"/>
  <c r="J57" i="7"/>
  <c r="I57" i="7"/>
  <c r="H57" i="7"/>
  <c r="G57" i="7"/>
  <c r="F57" i="7"/>
  <c r="E57" i="7"/>
  <c r="D57" i="7"/>
  <c r="C57" i="7"/>
  <c r="B57" i="7"/>
  <c r="A57" i="7"/>
  <c r="A57" i="8" s="1"/>
  <c r="P56" i="7"/>
  <c r="O56" i="7"/>
  <c r="N56" i="7"/>
  <c r="M56" i="7"/>
  <c r="L56" i="7"/>
  <c r="K56" i="7"/>
  <c r="J56" i="7"/>
  <c r="I56" i="7"/>
  <c r="H56" i="7"/>
  <c r="G56" i="7"/>
  <c r="F56" i="7"/>
  <c r="E56" i="7"/>
  <c r="D56" i="7"/>
  <c r="C56" i="7"/>
  <c r="B56" i="7"/>
  <c r="A56" i="7"/>
  <c r="A56" i="8" s="1"/>
  <c r="P55" i="7"/>
  <c r="O55" i="7"/>
  <c r="N55" i="7"/>
  <c r="M55" i="7"/>
  <c r="L55" i="7"/>
  <c r="K55" i="7"/>
  <c r="J55" i="7"/>
  <c r="I55" i="7"/>
  <c r="H55" i="7"/>
  <c r="G55" i="7"/>
  <c r="F55" i="7"/>
  <c r="E55" i="7"/>
  <c r="D55" i="7"/>
  <c r="C55" i="7"/>
  <c r="B55" i="7"/>
  <c r="A55" i="7"/>
  <c r="A55" i="8" s="1"/>
  <c r="A54" i="7"/>
  <c r="A54" i="8" s="1"/>
  <c r="A35" i="13" s="1"/>
  <c r="P53" i="7"/>
  <c r="O53" i="7"/>
  <c r="N53" i="7"/>
  <c r="M53" i="7"/>
  <c r="L53" i="7"/>
  <c r="K53" i="7"/>
  <c r="J53" i="7"/>
  <c r="I53" i="7"/>
  <c r="H53" i="7"/>
  <c r="G53" i="7"/>
  <c r="F53" i="7"/>
  <c r="E53" i="7"/>
  <c r="D53" i="7"/>
  <c r="C53" i="7"/>
  <c r="B53" i="7"/>
  <c r="A53" i="7"/>
  <c r="A53" i="8" s="1"/>
  <c r="P52" i="7"/>
  <c r="O52" i="7"/>
  <c r="N52" i="7"/>
  <c r="M52" i="7"/>
  <c r="L52" i="7"/>
  <c r="K52" i="7"/>
  <c r="J52" i="7"/>
  <c r="I52" i="7"/>
  <c r="H52" i="7"/>
  <c r="G52" i="7"/>
  <c r="F52" i="7"/>
  <c r="E52" i="7"/>
  <c r="D52" i="7"/>
  <c r="C52" i="7"/>
  <c r="B52" i="7"/>
  <c r="A52" i="7"/>
  <c r="A52" i="8" s="1"/>
  <c r="P51" i="7"/>
  <c r="O51" i="7"/>
  <c r="N51" i="7"/>
  <c r="M51" i="7"/>
  <c r="L51" i="7"/>
  <c r="K51" i="7"/>
  <c r="J51" i="7"/>
  <c r="I51" i="7"/>
  <c r="H51" i="7"/>
  <c r="G51" i="7"/>
  <c r="F51" i="7"/>
  <c r="E51" i="7"/>
  <c r="D51" i="7"/>
  <c r="C51" i="7"/>
  <c r="B51" i="7"/>
  <c r="A51" i="7"/>
  <c r="A51" i="8" s="1"/>
  <c r="A50" i="7"/>
  <c r="A50" i="8" s="1"/>
  <c r="A34" i="13" s="1"/>
  <c r="P49" i="7"/>
  <c r="O49" i="7"/>
  <c r="N49" i="7"/>
  <c r="M49" i="7"/>
  <c r="L49" i="7"/>
  <c r="K49" i="7"/>
  <c r="J49" i="7"/>
  <c r="I49" i="7"/>
  <c r="H49" i="7"/>
  <c r="G49" i="7"/>
  <c r="F49" i="7"/>
  <c r="E49" i="7"/>
  <c r="D49" i="7"/>
  <c r="C49" i="7"/>
  <c r="B49" i="7"/>
  <c r="A49" i="7"/>
  <c r="A49" i="8" s="1"/>
  <c r="P48" i="7"/>
  <c r="O48" i="7"/>
  <c r="N48" i="7"/>
  <c r="M48" i="7"/>
  <c r="L48" i="7"/>
  <c r="K48" i="7"/>
  <c r="J48" i="7"/>
  <c r="I48" i="7"/>
  <c r="H48" i="7"/>
  <c r="G48" i="7"/>
  <c r="F48" i="7"/>
  <c r="E48" i="7"/>
  <c r="D48" i="7"/>
  <c r="C48" i="7"/>
  <c r="B48" i="7"/>
  <c r="A48" i="7"/>
  <c r="A48" i="8" s="1"/>
  <c r="P47" i="7"/>
  <c r="O47" i="7"/>
  <c r="N47" i="7"/>
  <c r="M47" i="7"/>
  <c r="L47" i="7"/>
  <c r="K47" i="7"/>
  <c r="J47" i="7"/>
  <c r="I47" i="7"/>
  <c r="H47" i="7"/>
  <c r="G47" i="7"/>
  <c r="F47" i="7"/>
  <c r="E47" i="7"/>
  <c r="D47" i="7"/>
  <c r="C47" i="7"/>
  <c r="B47" i="7"/>
  <c r="A47" i="7"/>
  <c r="A47" i="8" s="1"/>
  <c r="A46" i="7"/>
  <c r="A46" i="8" s="1"/>
  <c r="A33" i="13" s="1"/>
  <c r="P45" i="7"/>
  <c r="O45" i="7"/>
  <c r="N45" i="7"/>
  <c r="M45" i="7"/>
  <c r="L45" i="7"/>
  <c r="K45" i="7"/>
  <c r="J45" i="7"/>
  <c r="I45" i="7"/>
  <c r="H45" i="7"/>
  <c r="G45" i="7"/>
  <c r="F45" i="7"/>
  <c r="E45" i="7"/>
  <c r="D45" i="7"/>
  <c r="C45" i="7"/>
  <c r="B45" i="7"/>
  <c r="A45" i="7"/>
  <c r="A45" i="8" s="1"/>
  <c r="P44" i="7"/>
  <c r="O44" i="7"/>
  <c r="N44" i="7"/>
  <c r="M44" i="7"/>
  <c r="L44" i="7"/>
  <c r="K44" i="7"/>
  <c r="J44" i="7"/>
  <c r="I44" i="7"/>
  <c r="H44" i="7"/>
  <c r="G44" i="7"/>
  <c r="F44" i="7"/>
  <c r="E44" i="7"/>
  <c r="D44" i="7"/>
  <c r="C44" i="7"/>
  <c r="B44" i="7"/>
  <c r="A44" i="7"/>
  <c r="A44" i="8" s="1"/>
  <c r="P43" i="7"/>
  <c r="O43" i="7"/>
  <c r="N43" i="7"/>
  <c r="M43" i="7"/>
  <c r="L43" i="7"/>
  <c r="K43" i="7"/>
  <c r="J43" i="7"/>
  <c r="I43" i="7"/>
  <c r="H43" i="7"/>
  <c r="G43" i="7"/>
  <c r="F43" i="7"/>
  <c r="E43" i="7"/>
  <c r="D43" i="7"/>
  <c r="C43" i="7"/>
  <c r="B43" i="7"/>
  <c r="A43" i="7"/>
  <c r="A43" i="8" s="1"/>
  <c r="P42" i="7"/>
  <c r="O42" i="7"/>
  <c r="N42" i="7"/>
  <c r="M42" i="7"/>
  <c r="L42" i="7"/>
  <c r="K42" i="7"/>
  <c r="J42" i="7"/>
  <c r="I42" i="7"/>
  <c r="H42" i="7"/>
  <c r="G42" i="7"/>
  <c r="F42" i="7"/>
  <c r="E42" i="7"/>
  <c r="D42" i="7"/>
  <c r="C42" i="7"/>
  <c r="B42" i="7"/>
  <c r="A42" i="7"/>
  <c r="A42" i="8" s="1"/>
  <c r="A40" i="7"/>
  <c r="A40" i="8" s="1"/>
  <c r="A39" i="7"/>
  <c r="A39" i="8" s="1"/>
  <c r="A38" i="7"/>
  <c r="A38" i="8" s="1"/>
  <c r="A37" i="7"/>
  <c r="A37" i="8" s="1"/>
  <c r="P36" i="7"/>
  <c r="O36" i="7"/>
  <c r="N36" i="7"/>
  <c r="M36" i="7"/>
  <c r="L36" i="7"/>
  <c r="K36" i="7"/>
  <c r="J36" i="7"/>
  <c r="I36" i="7"/>
  <c r="H36" i="7"/>
  <c r="G36" i="7"/>
  <c r="F36" i="7"/>
  <c r="E36" i="7"/>
  <c r="D36" i="7"/>
  <c r="C36" i="7"/>
  <c r="B36" i="7"/>
  <c r="A36" i="7"/>
  <c r="A36" i="8" s="1"/>
  <c r="P35" i="7"/>
  <c r="O35" i="7"/>
  <c r="N35" i="7"/>
  <c r="M35" i="7"/>
  <c r="L35" i="7"/>
  <c r="K35" i="7"/>
  <c r="J35" i="7"/>
  <c r="I35" i="7"/>
  <c r="H35" i="7"/>
  <c r="G35" i="7"/>
  <c r="F35" i="7"/>
  <c r="E35" i="7"/>
  <c r="D35" i="7"/>
  <c r="C35" i="7"/>
  <c r="B35" i="7"/>
  <c r="A35" i="7"/>
  <c r="A35" i="8" s="1"/>
  <c r="P34" i="7"/>
  <c r="O34" i="7"/>
  <c r="N34" i="7"/>
  <c r="M34" i="7"/>
  <c r="L34" i="7"/>
  <c r="K34" i="7"/>
  <c r="J34" i="7"/>
  <c r="I34" i="7"/>
  <c r="H34" i="7"/>
  <c r="G34" i="7"/>
  <c r="F34" i="7"/>
  <c r="E34" i="7"/>
  <c r="D34" i="7"/>
  <c r="C34" i="7"/>
  <c r="B34" i="7"/>
  <c r="A34" i="7"/>
  <c r="A34" i="8" s="1"/>
  <c r="A33" i="7"/>
  <c r="A33" i="8" s="1"/>
  <c r="A3" i="13" s="1"/>
  <c r="A32" i="7"/>
  <c r="A32" i="8" s="1"/>
  <c r="A4" i="13" s="1"/>
  <c r="A31" i="7"/>
  <c r="A31" i="8" s="1"/>
  <c r="A5" i="13" s="1"/>
  <c r="A30" i="7"/>
  <c r="A30" i="8" s="1"/>
  <c r="P29" i="7"/>
  <c r="O29" i="7"/>
  <c r="N29" i="7"/>
  <c r="M29" i="7"/>
  <c r="L29" i="7"/>
  <c r="K29" i="7"/>
  <c r="J29" i="7"/>
  <c r="I29" i="7"/>
  <c r="H29" i="7"/>
  <c r="G29" i="7"/>
  <c r="F29" i="7"/>
  <c r="E29" i="7"/>
  <c r="D29" i="7"/>
  <c r="C29" i="7"/>
  <c r="B29" i="7"/>
  <c r="A29" i="7"/>
  <c r="A29" i="8" s="1"/>
  <c r="A13" i="13" s="1"/>
  <c r="P28" i="7"/>
  <c r="O28" i="7"/>
  <c r="N28" i="7"/>
  <c r="M28" i="7"/>
  <c r="L28" i="7"/>
  <c r="K28" i="7"/>
  <c r="J28" i="7"/>
  <c r="I28" i="7"/>
  <c r="H28" i="7"/>
  <c r="G28" i="7"/>
  <c r="F28" i="7"/>
  <c r="E28" i="7"/>
  <c r="D28" i="7"/>
  <c r="C28" i="7"/>
  <c r="B28" i="7"/>
  <c r="A28" i="7"/>
  <c r="A28" i="8" s="1"/>
  <c r="A12" i="13" s="1"/>
  <c r="P27" i="7"/>
  <c r="O27" i="7"/>
  <c r="N27" i="7"/>
  <c r="M27" i="7"/>
  <c r="L27" i="7"/>
  <c r="K27" i="7"/>
  <c r="J27" i="7"/>
  <c r="I27" i="7"/>
  <c r="H27" i="7"/>
  <c r="G27" i="7"/>
  <c r="F27" i="7"/>
  <c r="E27" i="7"/>
  <c r="D27" i="7"/>
  <c r="C27" i="7"/>
  <c r="B27" i="7"/>
  <c r="A27" i="7"/>
  <c r="A27" i="8" s="1"/>
  <c r="A11" i="13" s="1"/>
  <c r="P26" i="7"/>
  <c r="O26" i="7"/>
  <c r="N26" i="7"/>
  <c r="M26" i="7"/>
  <c r="L26" i="7"/>
  <c r="K26" i="7"/>
  <c r="J26" i="7"/>
  <c r="I26" i="7"/>
  <c r="H26" i="7"/>
  <c r="G26" i="7"/>
  <c r="F26" i="7"/>
  <c r="E26" i="7"/>
  <c r="D26" i="7"/>
  <c r="C26" i="7"/>
  <c r="B26" i="7"/>
  <c r="A26" i="7"/>
  <c r="A26" i="8" s="1"/>
  <c r="A10" i="13" s="1"/>
  <c r="P25" i="7"/>
  <c r="O25" i="7"/>
  <c r="N25" i="7"/>
  <c r="M25" i="7"/>
  <c r="L25" i="7"/>
  <c r="K25" i="7"/>
  <c r="J25" i="7"/>
  <c r="I25" i="7"/>
  <c r="H25" i="7"/>
  <c r="G25" i="7"/>
  <c r="F25" i="7"/>
  <c r="E25" i="7"/>
  <c r="D25" i="7"/>
  <c r="C25" i="7"/>
  <c r="B25" i="7"/>
  <c r="A25" i="7"/>
  <c r="A25" i="8" s="1"/>
  <c r="A9" i="13" s="1"/>
  <c r="P23" i="7"/>
  <c r="O23" i="7"/>
  <c r="N23" i="7"/>
  <c r="M23" i="7"/>
  <c r="L23" i="7"/>
  <c r="K23" i="7"/>
  <c r="J23" i="7"/>
  <c r="I23" i="7"/>
  <c r="H23" i="7"/>
  <c r="G23" i="7"/>
  <c r="F23" i="7"/>
  <c r="E23" i="7"/>
  <c r="D23" i="7"/>
  <c r="C23" i="7"/>
  <c r="B23" i="7"/>
  <c r="A23" i="7"/>
  <c r="A23" i="8" s="1"/>
  <c r="P22" i="7"/>
  <c r="O22" i="7"/>
  <c r="N22" i="7"/>
  <c r="M22" i="7"/>
  <c r="L22" i="7"/>
  <c r="K22" i="7"/>
  <c r="J22" i="7"/>
  <c r="I22" i="7"/>
  <c r="H22" i="7"/>
  <c r="G22" i="7"/>
  <c r="F22" i="7"/>
  <c r="E22" i="7"/>
  <c r="D22" i="7"/>
  <c r="C22" i="7"/>
  <c r="B22" i="7"/>
  <c r="A22" i="7"/>
  <c r="A22" i="8" s="1"/>
  <c r="P21" i="7"/>
  <c r="O21" i="7"/>
  <c r="N21" i="7"/>
  <c r="M21" i="7"/>
  <c r="L21" i="7"/>
  <c r="K21" i="7"/>
  <c r="J21" i="7"/>
  <c r="I21" i="7"/>
  <c r="H21" i="7"/>
  <c r="G21" i="7"/>
  <c r="F21" i="7"/>
  <c r="E21" i="7"/>
  <c r="D21" i="7"/>
  <c r="C21" i="7"/>
  <c r="B21" i="7"/>
  <c r="A21" i="7"/>
  <c r="A21" i="8" s="1"/>
  <c r="P20" i="7"/>
  <c r="O20" i="7"/>
  <c r="N20" i="7"/>
  <c r="M20" i="7"/>
  <c r="L20" i="7"/>
  <c r="K20" i="7"/>
  <c r="J20" i="7"/>
  <c r="I20" i="7"/>
  <c r="H20" i="7"/>
  <c r="G20" i="7"/>
  <c r="F20" i="7"/>
  <c r="E20" i="7"/>
  <c r="D20" i="7"/>
  <c r="C20" i="7"/>
  <c r="B20" i="7"/>
  <c r="A20" i="7"/>
  <c r="A20" i="8" s="1"/>
  <c r="P19" i="7"/>
  <c r="O19" i="7"/>
  <c r="N19" i="7"/>
  <c r="M19" i="7"/>
  <c r="L19" i="7"/>
  <c r="K19" i="7"/>
  <c r="J19" i="7"/>
  <c r="I19" i="7"/>
  <c r="H19" i="7"/>
  <c r="G19" i="7"/>
  <c r="F19" i="7"/>
  <c r="E19" i="7"/>
  <c r="D19" i="7"/>
  <c r="C19" i="7"/>
  <c r="B19" i="7"/>
  <c r="A19" i="7"/>
  <c r="A19" i="8" s="1"/>
  <c r="P18" i="7"/>
  <c r="O18" i="7"/>
  <c r="N18" i="7"/>
  <c r="M18" i="7"/>
  <c r="L18" i="7"/>
  <c r="K18" i="7"/>
  <c r="J18" i="7"/>
  <c r="I18" i="7"/>
  <c r="H18" i="7"/>
  <c r="G18" i="7"/>
  <c r="F18" i="7"/>
  <c r="E18" i="7"/>
  <c r="D18" i="7"/>
  <c r="C18" i="7"/>
  <c r="B18" i="7"/>
  <c r="A18" i="7"/>
  <c r="A18" i="8" s="1"/>
  <c r="P17" i="7"/>
  <c r="O17" i="7"/>
  <c r="N17" i="7"/>
  <c r="M17" i="7"/>
  <c r="L17" i="7"/>
  <c r="K17" i="7"/>
  <c r="J17" i="7"/>
  <c r="I17" i="7"/>
  <c r="H17" i="7"/>
  <c r="G17" i="7"/>
  <c r="F17" i="7"/>
  <c r="E17" i="7"/>
  <c r="D17" i="7"/>
  <c r="C17" i="7"/>
  <c r="B17" i="7"/>
  <c r="A17" i="7"/>
  <c r="A17" i="8" s="1"/>
  <c r="P16" i="7"/>
  <c r="O16" i="7"/>
  <c r="N16" i="7"/>
  <c r="M16" i="7"/>
  <c r="L16" i="7"/>
  <c r="K16" i="7"/>
  <c r="J16" i="7"/>
  <c r="I16" i="7"/>
  <c r="H16" i="7"/>
  <c r="G16" i="7"/>
  <c r="F16" i="7"/>
  <c r="E16" i="7"/>
  <c r="D16" i="7"/>
  <c r="C16" i="7"/>
  <c r="B16" i="7"/>
  <c r="A16" i="7"/>
  <c r="A16" i="8" s="1"/>
  <c r="P15" i="7"/>
  <c r="O15" i="7"/>
  <c r="N15" i="7"/>
  <c r="M15" i="7"/>
  <c r="L15" i="7"/>
  <c r="K15" i="7"/>
  <c r="J15" i="7"/>
  <c r="I15" i="7"/>
  <c r="H15" i="7"/>
  <c r="G15" i="7"/>
  <c r="F15" i="7"/>
  <c r="E15" i="7"/>
  <c r="D15" i="7"/>
  <c r="C15" i="7"/>
  <c r="B15" i="7"/>
  <c r="A15" i="7"/>
  <c r="A15" i="8" s="1"/>
  <c r="P14" i="7"/>
  <c r="O14" i="7"/>
  <c r="N14" i="7"/>
  <c r="M14" i="7"/>
  <c r="L14" i="7"/>
  <c r="K14" i="7"/>
  <c r="J14" i="7"/>
  <c r="I14" i="7"/>
  <c r="H14" i="7"/>
  <c r="G14" i="7"/>
  <c r="F14" i="7"/>
  <c r="E14" i="7"/>
  <c r="D14" i="7"/>
  <c r="C14" i="7"/>
  <c r="B14" i="7"/>
  <c r="A14" i="7"/>
  <c r="A14" i="8" s="1"/>
  <c r="P13" i="7"/>
  <c r="O13" i="7"/>
  <c r="N13" i="7"/>
  <c r="M13" i="7"/>
  <c r="L13" i="7"/>
  <c r="K13" i="7"/>
  <c r="J13" i="7"/>
  <c r="I13" i="7"/>
  <c r="H13" i="7"/>
  <c r="G13" i="7"/>
  <c r="F13" i="7"/>
  <c r="E13" i="7"/>
  <c r="D13" i="7"/>
  <c r="C13" i="7"/>
  <c r="B13" i="7"/>
  <c r="A13" i="7"/>
  <c r="A13" i="8" s="1"/>
  <c r="P12" i="7"/>
  <c r="O12" i="7"/>
  <c r="N12" i="7"/>
  <c r="M12" i="7"/>
  <c r="L12" i="7"/>
  <c r="K12" i="7"/>
  <c r="J12" i="7"/>
  <c r="I12" i="7"/>
  <c r="H12" i="7"/>
  <c r="G12" i="7"/>
  <c r="F12" i="7"/>
  <c r="E12" i="7"/>
  <c r="D12" i="7"/>
  <c r="C12" i="7"/>
  <c r="B12" i="7"/>
  <c r="A12" i="7"/>
  <c r="A12" i="8" s="1"/>
  <c r="P11" i="7"/>
  <c r="O11" i="7"/>
  <c r="N11" i="7"/>
  <c r="M11" i="7"/>
  <c r="L11" i="7"/>
  <c r="K11" i="7"/>
  <c r="J11" i="7"/>
  <c r="I11" i="7"/>
  <c r="H11" i="7"/>
  <c r="G11" i="7"/>
  <c r="F11" i="7"/>
  <c r="E11" i="7"/>
  <c r="D11" i="7"/>
  <c r="C11" i="7"/>
  <c r="B11" i="7"/>
  <c r="A11" i="7"/>
  <c r="A11" i="8" s="1"/>
  <c r="P9" i="7"/>
  <c r="O9" i="7"/>
  <c r="N9" i="7"/>
  <c r="M9" i="7"/>
  <c r="L9" i="7"/>
  <c r="K9" i="7"/>
  <c r="J9" i="7"/>
  <c r="I9" i="7"/>
  <c r="H9" i="7"/>
  <c r="G9" i="7"/>
  <c r="F9" i="7"/>
  <c r="E9" i="7"/>
  <c r="D9" i="7"/>
  <c r="C9" i="7"/>
  <c r="B9" i="7"/>
  <c r="A9" i="7"/>
  <c r="A9" i="8" s="1"/>
  <c r="P8" i="7"/>
  <c r="O8" i="7"/>
  <c r="N8" i="7"/>
  <c r="M8" i="7"/>
  <c r="L8" i="7"/>
  <c r="K8" i="7"/>
  <c r="J8" i="7"/>
  <c r="I8" i="7"/>
  <c r="H8" i="7"/>
  <c r="G8" i="7"/>
  <c r="F8" i="7"/>
  <c r="E8" i="7"/>
  <c r="D8" i="7"/>
  <c r="C8" i="7"/>
  <c r="B8" i="7"/>
  <c r="A8" i="7"/>
  <c r="A8" i="8" s="1"/>
  <c r="A2" i="13" s="1"/>
  <c r="C6" i="7"/>
  <c r="F6" i="8" s="1"/>
  <c r="A6" i="7"/>
  <c r="A6" i="8" s="1"/>
  <c r="A5" i="7"/>
  <c r="A5" i="8" s="1"/>
  <c r="P4" i="7"/>
  <c r="S4" i="8" s="1"/>
  <c r="O4" i="7"/>
  <c r="R4" i="8" s="1"/>
  <c r="N4" i="7"/>
  <c r="Q4" i="8" s="1"/>
  <c r="M4" i="7"/>
  <c r="P4" i="8" s="1"/>
  <c r="L4" i="7"/>
  <c r="O4" i="8" s="1"/>
  <c r="K4" i="7"/>
  <c r="N4" i="8" s="1"/>
  <c r="J4" i="7"/>
  <c r="M4" i="8" s="1"/>
  <c r="I4" i="7"/>
  <c r="L4" i="8" s="1"/>
  <c r="H4" i="7"/>
  <c r="G4" i="7"/>
  <c r="J4" i="8" s="1"/>
  <c r="F4" i="7"/>
  <c r="I4" i="8" s="1"/>
  <c r="E4" i="7"/>
  <c r="H4" i="8" s="1"/>
  <c r="D4" i="7"/>
  <c r="G4" i="8" s="1"/>
  <c r="C4" i="7"/>
  <c r="F4" i="8" s="1"/>
  <c r="B4" i="7"/>
  <c r="E4" i="8" s="1"/>
  <c r="B4" i="8" s="1"/>
  <c r="A4" i="7"/>
  <c r="A4" i="8" s="1"/>
  <c r="P3" i="7"/>
  <c r="S3" i="8" s="1"/>
  <c r="O3" i="7"/>
  <c r="R3" i="8" s="1"/>
  <c r="N3" i="7"/>
  <c r="Q3" i="8" s="1"/>
  <c r="M3" i="7"/>
  <c r="P3" i="8" s="1"/>
  <c r="L3" i="7"/>
  <c r="O3" i="8" s="1"/>
  <c r="K3" i="7"/>
  <c r="N3" i="8" s="1"/>
  <c r="J3" i="7"/>
  <c r="M3" i="8" s="1"/>
  <c r="I3" i="7"/>
  <c r="L3" i="8" s="1"/>
  <c r="H3" i="7"/>
  <c r="K3" i="8" s="1"/>
  <c r="G3" i="7"/>
  <c r="J3" i="8" s="1"/>
  <c r="F3" i="7"/>
  <c r="I3" i="8" s="1"/>
  <c r="E3" i="7"/>
  <c r="D3" i="7"/>
  <c r="G3" i="8" s="1"/>
  <c r="C3" i="7"/>
  <c r="F3" i="8" s="1"/>
  <c r="B3" i="7"/>
  <c r="E3" i="8" s="1"/>
  <c r="B3" i="8" s="1"/>
  <c r="A3" i="7"/>
  <c r="A3" i="8" s="1"/>
  <c r="P2" i="7"/>
  <c r="O2" i="7"/>
  <c r="N2" i="7"/>
  <c r="Q2" i="8" s="1"/>
  <c r="Q148" i="8" s="1"/>
  <c r="M2" i="7"/>
  <c r="P2" i="8" s="1"/>
  <c r="P148" i="8" s="1"/>
  <c r="L2" i="7"/>
  <c r="O2" i="8" s="1"/>
  <c r="O148" i="8" s="1"/>
  <c r="O108" i="8" s="1"/>
  <c r="L18" i="13" s="1"/>
  <c r="K2" i="7"/>
  <c r="N2" i="8" s="1"/>
  <c r="N148" i="8" s="1"/>
  <c r="J2" i="7"/>
  <c r="M2" i="8" s="1"/>
  <c r="M148" i="8" s="1"/>
  <c r="M1" i="8" s="1"/>
  <c r="J1" i="13" s="1"/>
  <c r="I2" i="7"/>
  <c r="H2" i="7"/>
  <c r="G2" i="7"/>
  <c r="F2" i="7"/>
  <c r="I2" i="8" s="1"/>
  <c r="I148" i="8" s="1"/>
  <c r="I28" i="8" s="1"/>
  <c r="F12" i="13" s="1"/>
  <c r="E2" i="7"/>
  <c r="H2" i="8" s="1"/>
  <c r="H148" i="8" s="1"/>
  <c r="D2" i="7"/>
  <c r="G2" i="8" s="1"/>
  <c r="G148" i="8" s="1"/>
  <c r="G51" i="8" s="1"/>
  <c r="C2" i="7"/>
  <c r="F2" i="8" s="1"/>
  <c r="F148" i="8" s="1"/>
  <c r="B2" i="7"/>
  <c r="E2" i="8" s="1"/>
  <c r="A2" i="7"/>
  <c r="A2" i="8" s="1"/>
  <c r="P1" i="7"/>
  <c r="O1" i="7"/>
  <c r="N1" i="7"/>
  <c r="M1" i="7"/>
  <c r="L1" i="7"/>
  <c r="K1" i="7"/>
  <c r="J1" i="7"/>
  <c r="I1" i="7"/>
  <c r="I3" i="5" s="1"/>
  <c r="H1" i="7"/>
  <c r="G1" i="7"/>
  <c r="F1" i="7"/>
  <c r="E1" i="7"/>
  <c r="D1" i="7"/>
  <c r="C1" i="7"/>
  <c r="B1" i="7"/>
  <c r="E1" i="8" s="1"/>
  <c r="B1" i="13" s="1"/>
  <c r="D865" i="6"/>
  <c r="D823" i="6"/>
  <c r="D866" i="6" s="1"/>
  <c r="D822" i="6"/>
  <c r="D824" i="6" s="1"/>
  <c r="L800" i="6"/>
  <c r="G800" i="6"/>
  <c r="B800" i="6"/>
  <c r="L799" i="6"/>
  <c r="G799" i="6"/>
  <c r="B799" i="6"/>
  <c r="L798" i="6"/>
  <c r="G798" i="6"/>
  <c r="B798" i="6"/>
  <c r="L792" i="6"/>
  <c r="G792" i="6"/>
  <c r="B792" i="6"/>
  <c r="L791" i="6"/>
  <c r="G791" i="6"/>
  <c r="B791" i="6"/>
  <c r="L790" i="6"/>
  <c r="G790" i="6"/>
  <c r="B790" i="6"/>
  <c r="K786" i="6"/>
  <c r="K785" i="6"/>
  <c r="H785" i="6"/>
  <c r="D785" i="6"/>
  <c r="A785" i="6"/>
  <c r="K784" i="6"/>
  <c r="D784" i="6"/>
  <c r="A784" i="6"/>
  <c r="K783" i="6"/>
  <c r="D783" i="6"/>
  <c r="A783" i="6"/>
  <c r="K782" i="6"/>
  <c r="D782" i="6"/>
  <c r="A782" i="6"/>
  <c r="K781" i="6"/>
  <c r="D781" i="6"/>
  <c r="A781" i="6"/>
  <c r="K780" i="6"/>
  <c r="D780" i="6"/>
  <c r="A780" i="6"/>
  <c r="J743" i="6"/>
  <c r="L739" i="6"/>
  <c r="L738" i="6"/>
  <c r="L737" i="6"/>
  <c r="E737" i="6"/>
  <c r="L732" i="6"/>
  <c r="D732" i="6"/>
  <c r="L731" i="6"/>
  <c r="H731" i="6"/>
  <c r="D731" i="6"/>
  <c r="L730" i="6"/>
  <c r="H730" i="6"/>
  <c r="D730" i="6"/>
  <c r="L729" i="6"/>
  <c r="H729" i="6"/>
  <c r="D729" i="6"/>
  <c r="L728" i="6"/>
  <c r="H728" i="6"/>
  <c r="D728" i="6"/>
  <c r="L727" i="6"/>
  <c r="H727" i="6"/>
  <c r="D727" i="6"/>
  <c r="L726" i="6"/>
  <c r="H726" i="6"/>
  <c r="D726" i="6"/>
  <c r="O709" i="6"/>
  <c r="M709" i="6"/>
  <c r="K709" i="6"/>
  <c r="I709" i="6"/>
  <c r="G709" i="6"/>
  <c r="E709" i="6"/>
  <c r="C709" i="6"/>
  <c r="J690" i="6"/>
  <c r="L657" i="6"/>
  <c r="K628" i="6"/>
  <c r="A587" i="6"/>
  <c r="A586" i="6"/>
  <c r="A585" i="6"/>
  <c r="A584" i="6"/>
  <c r="A583" i="6"/>
  <c r="A582" i="6"/>
  <c r="A581" i="6"/>
  <c r="A580" i="6"/>
  <c r="A579" i="6"/>
  <c r="A578" i="6"/>
  <c r="A577" i="6"/>
  <c r="A576" i="6"/>
  <c r="A575" i="6"/>
  <c r="A574" i="6"/>
  <c r="A573" i="6"/>
  <c r="A572" i="6"/>
  <c r="A571" i="6"/>
  <c r="A570" i="6"/>
  <c r="A569" i="6"/>
  <c r="A568" i="6"/>
  <c r="A567" i="6"/>
  <c r="D527" i="6"/>
  <c r="A441" i="6"/>
  <c r="D435" i="6"/>
  <c r="D436" i="6" s="1"/>
  <c r="L182" i="6"/>
  <c r="I182" i="6"/>
  <c r="L181" i="6"/>
  <c r="I181" i="6"/>
  <c r="L179" i="6"/>
  <c r="I179" i="6"/>
  <c r="A177" i="6"/>
  <c r="D101" i="6"/>
  <c r="D100" i="6"/>
  <c r="D395" i="6" s="1"/>
  <c r="N96" i="6"/>
  <c r="N95" i="6"/>
  <c r="D95" i="6"/>
  <c r="D93" i="6"/>
  <c r="D92" i="6"/>
  <c r="P32" i="5"/>
  <c r="P154" i="7" s="1"/>
  <c r="O32" i="5"/>
  <c r="O154" i="7" s="1"/>
  <c r="N32" i="5"/>
  <c r="N154" i="7" s="1"/>
  <c r="M32" i="5"/>
  <c r="M154" i="7" s="1"/>
  <c r="L32" i="5"/>
  <c r="L154" i="7" s="1"/>
  <c r="K32" i="5"/>
  <c r="K154" i="7" s="1"/>
  <c r="J32" i="5"/>
  <c r="J154" i="7" s="1"/>
  <c r="I32" i="5"/>
  <c r="I154" i="7" s="1"/>
  <c r="H32" i="5"/>
  <c r="H154" i="7" s="1"/>
  <c r="G32" i="5"/>
  <c r="G154" i="7" s="1"/>
  <c r="F32" i="5"/>
  <c r="F154" i="7" s="1"/>
  <c r="E32" i="5"/>
  <c r="E154" i="7" s="1"/>
  <c r="D32" i="5"/>
  <c r="D154" i="7" s="1"/>
  <c r="C32" i="5"/>
  <c r="C154" i="7" s="1"/>
  <c r="B32" i="5"/>
  <c r="B154" i="7" s="1"/>
  <c r="P31" i="5"/>
  <c r="P153" i="7" s="1"/>
  <c r="O31" i="5"/>
  <c r="O153" i="7" s="1"/>
  <c r="N31" i="5"/>
  <c r="N153" i="7" s="1"/>
  <c r="M31" i="5"/>
  <c r="M153" i="7" s="1"/>
  <c r="L31" i="5"/>
  <c r="L153" i="7" s="1"/>
  <c r="K31" i="5"/>
  <c r="K153" i="7" s="1"/>
  <c r="J31" i="5"/>
  <c r="J153" i="7" s="1"/>
  <c r="I31" i="5"/>
  <c r="I153" i="7" s="1"/>
  <c r="H31" i="5"/>
  <c r="H153" i="7" s="1"/>
  <c r="G31" i="5"/>
  <c r="G153" i="7" s="1"/>
  <c r="F31" i="5"/>
  <c r="F153" i="7" s="1"/>
  <c r="E31" i="5"/>
  <c r="E153" i="7" s="1"/>
  <c r="D31" i="5"/>
  <c r="D153" i="7" s="1"/>
  <c r="C31" i="5"/>
  <c r="C153" i="7" s="1"/>
  <c r="B31" i="5"/>
  <c r="B153" i="7" s="1"/>
  <c r="P30" i="5"/>
  <c r="P152" i="7" s="1"/>
  <c r="O30" i="5"/>
  <c r="O152" i="7" s="1"/>
  <c r="N30" i="5"/>
  <c r="N152" i="7" s="1"/>
  <c r="M30" i="5"/>
  <c r="M152" i="7" s="1"/>
  <c r="L30" i="5"/>
  <c r="L152" i="7" s="1"/>
  <c r="K30" i="5"/>
  <c r="K152" i="7" s="1"/>
  <c r="J30" i="5"/>
  <c r="J152" i="7" s="1"/>
  <c r="I30" i="5"/>
  <c r="I152" i="7" s="1"/>
  <c r="H30" i="5"/>
  <c r="H152" i="7" s="1"/>
  <c r="G30" i="5"/>
  <c r="G152" i="7" s="1"/>
  <c r="F30" i="5"/>
  <c r="F152" i="7" s="1"/>
  <c r="E30" i="5"/>
  <c r="E152" i="7" s="1"/>
  <c r="D30" i="5"/>
  <c r="D152" i="7" s="1"/>
  <c r="C30" i="5"/>
  <c r="C152" i="7" s="1"/>
  <c r="B30" i="5"/>
  <c r="B152" i="7" s="1"/>
  <c r="P29" i="5"/>
  <c r="P151" i="7" s="1"/>
  <c r="O29" i="5"/>
  <c r="O151" i="7" s="1"/>
  <c r="N29" i="5"/>
  <c r="N151" i="7" s="1"/>
  <c r="M29" i="5"/>
  <c r="M151" i="7" s="1"/>
  <c r="L29" i="5"/>
  <c r="L151" i="7" s="1"/>
  <c r="K29" i="5"/>
  <c r="K151" i="7" s="1"/>
  <c r="J29" i="5"/>
  <c r="J151" i="7" s="1"/>
  <c r="I29" i="5"/>
  <c r="I151" i="7" s="1"/>
  <c r="H29" i="5"/>
  <c r="H151" i="7" s="1"/>
  <c r="G29" i="5"/>
  <c r="G151" i="7" s="1"/>
  <c r="F29" i="5"/>
  <c r="F151" i="7" s="1"/>
  <c r="E29" i="5"/>
  <c r="E151" i="7" s="1"/>
  <c r="D29" i="5"/>
  <c r="D151" i="7" s="1"/>
  <c r="C29" i="5"/>
  <c r="C151" i="7" s="1"/>
  <c r="B29" i="5"/>
  <c r="B151" i="7" s="1"/>
  <c r="P28" i="5"/>
  <c r="P150" i="7" s="1"/>
  <c r="O28" i="5"/>
  <c r="O150" i="7" s="1"/>
  <c r="N28" i="5"/>
  <c r="N150" i="7" s="1"/>
  <c r="M28" i="5"/>
  <c r="M150" i="7" s="1"/>
  <c r="L28" i="5"/>
  <c r="L150" i="7" s="1"/>
  <c r="K28" i="5"/>
  <c r="K150" i="7" s="1"/>
  <c r="J28" i="5"/>
  <c r="J150" i="7" s="1"/>
  <c r="I28" i="5"/>
  <c r="I150" i="7" s="1"/>
  <c r="H28" i="5"/>
  <c r="H150" i="7" s="1"/>
  <c r="G28" i="5"/>
  <c r="G150" i="7" s="1"/>
  <c r="F28" i="5"/>
  <c r="F150" i="7" s="1"/>
  <c r="E28" i="5"/>
  <c r="E150" i="7" s="1"/>
  <c r="D28" i="5"/>
  <c r="D150" i="7" s="1"/>
  <c r="C28" i="5"/>
  <c r="C150" i="7" s="1"/>
  <c r="B28" i="5"/>
  <c r="B150" i="7" s="1"/>
  <c r="A8" i="5"/>
  <c r="A7" i="5"/>
  <c r="A6" i="5"/>
  <c r="A5" i="5"/>
  <c r="P4" i="5"/>
  <c r="O4" i="5"/>
  <c r="N4" i="5"/>
  <c r="M4" i="5"/>
  <c r="L4" i="5"/>
  <c r="K4" i="5"/>
  <c r="J4" i="5"/>
  <c r="H4" i="5"/>
  <c r="G4" i="5"/>
  <c r="F4" i="5"/>
  <c r="E4" i="5"/>
  <c r="D4" i="5"/>
  <c r="C4" i="5"/>
  <c r="B4" i="5"/>
  <c r="P3" i="5"/>
  <c r="O3" i="5"/>
  <c r="N3" i="5"/>
  <c r="M3" i="5"/>
  <c r="L3" i="5"/>
  <c r="K3" i="5"/>
  <c r="J3" i="5"/>
  <c r="H3" i="5"/>
  <c r="G3" i="5"/>
  <c r="F3" i="5"/>
  <c r="E3" i="5"/>
  <c r="D3" i="5"/>
  <c r="C3" i="5"/>
  <c r="B3" i="5"/>
  <c r="AH99"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C99" i="4"/>
  <c r="K609" i="6" s="1"/>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C98" i="4" s="1"/>
  <c r="G609" i="6" s="1"/>
  <c r="AH97"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AG95" i="4"/>
  <c r="AE95" i="4"/>
  <c r="AC95" i="4"/>
  <c r="AA95" i="4"/>
  <c r="Y95" i="4"/>
  <c r="W95" i="4"/>
  <c r="U95" i="4"/>
  <c r="S95" i="4"/>
  <c r="R95" i="4"/>
  <c r="Q95" i="4"/>
  <c r="O95" i="4"/>
  <c r="M95" i="4"/>
  <c r="L95" i="4"/>
  <c r="K95" i="4"/>
  <c r="I95" i="4"/>
  <c r="G95" i="4"/>
  <c r="E95" i="4"/>
  <c r="AG94" i="4"/>
  <c r="AE94" i="4"/>
  <c r="AC94" i="4"/>
  <c r="AA94" i="4"/>
  <c r="Y94" i="4"/>
  <c r="W94" i="4"/>
  <c r="U94" i="4"/>
  <c r="S94" i="4"/>
  <c r="R94" i="4"/>
  <c r="Q94" i="4"/>
  <c r="O94" i="4"/>
  <c r="M94" i="4"/>
  <c r="L94" i="4"/>
  <c r="K94" i="4"/>
  <c r="I94" i="4"/>
  <c r="G94" i="4"/>
  <c r="E94" i="4"/>
  <c r="R93" i="4"/>
  <c r="N93" i="4"/>
  <c r="L93" i="4"/>
  <c r="R92" i="4"/>
  <c r="N92" i="4"/>
  <c r="L92" i="4"/>
  <c r="R91" i="4"/>
  <c r="N91" i="4"/>
  <c r="L91" i="4"/>
  <c r="R90" i="4"/>
  <c r="N90" i="4"/>
  <c r="L90" i="4"/>
  <c r="R89" i="4"/>
  <c r="N89" i="4"/>
  <c r="L89" i="4"/>
  <c r="R88" i="4"/>
  <c r="N88" i="4"/>
  <c r="L88" i="4"/>
  <c r="R87" i="4"/>
  <c r="N87" i="4"/>
  <c r="L87" i="4"/>
  <c r="R86" i="4"/>
  <c r="N86" i="4"/>
  <c r="L86" i="4"/>
  <c r="R85" i="4"/>
  <c r="N85" i="4"/>
  <c r="L85" i="4"/>
  <c r="F85" i="4"/>
  <c r="R84" i="4"/>
  <c r="N84" i="4"/>
  <c r="L84" i="4"/>
  <c r="F84" i="4"/>
  <c r="R83" i="4"/>
  <c r="N83" i="4"/>
  <c r="L83" i="4"/>
  <c r="F83" i="4"/>
  <c r="U80" i="4"/>
  <c r="S80" i="4"/>
  <c r="Q80" i="4"/>
  <c r="M80" i="4"/>
  <c r="K80" i="4"/>
  <c r="E80" i="4"/>
  <c r="C80" i="4"/>
  <c r="Q79" i="4"/>
  <c r="M79" i="4"/>
  <c r="K79" i="4"/>
  <c r="C79" i="4"/>
  <c r="AG78" i="4"/>
  <c r="AE78" i="4"/>
  <c r="Y78" i="4"/>
  <c r="Q78" i="4"/>
  <c r="O78" i="4"/>
  <c r="M78" i="4"/>
  <c r="K78" i="4"/>
  <c r="E78" i="4"/>
  <c r="C78" i="4"/>
  <c r="Q77" i="4"/>
  <c r="M77" i="4"/>
  <c r="K77" i="4"/>
  <c r="C77" i="4"/>
  <c r="AE76" i="4"/>
  <c r="C76" i="4"/>
  <c r="Q75" i="4"/>
  <c r="M75" i="4"/>
  <c r="K75" i="4"/>
  <c r="G75" i="4"/>
  <c r="C75" i="4"/>
  <c r="Q74" i="4"/>
  <c r="M74" i="4"/>
  <c r="K74" i="4"/>
  <c r="G74" i="4"/>
  <c r="E74" i="4"/>
  <c r="C74" i="4"/>
  <c r="Q73" i="4"/>
  <c r="M73" i="4"/>
  <c r="K73" i="4"/>
  <c r="I73" i="4"/>
  <c r="G73" i="4"/>
  <c r="E73" i="4"/>
  <c r="C73" i="4"/>
  <c r="AH70" i="4"/>
  <c r="AH95" i="4" s="1"/>
  <c r="AF70" i="4"/>
  <c r="AF95" i="4" s="1"/>
  <c r="AD70" i="4"/>
  <c r="AD95" i="4" s="1"/>
  <c r="AB70" i="4"/>
  <c r="AB95" i="4" s="1"/>
  <c r="Z70" i="4"/>
  <c r="Z95" i="4" s="1"/>
  <c r="X70" i="4"/>
  <c r="X95" i="4" s="1"/>
  <c r="V70" i="4"/>
  <c r="V95" i="4" s="1"/>
  <c r="T70" i="4"/>
  <c r="T95" i="4" s="1"/>
  <c r="AH69" i="4"/>
  <c r="AH94" i="4" s="1"/>
  <c r="AF69" i="4"/>
  <c r="AF94" i="4" s="1"/>
  <c r="AD69" i="4"/>
  <c r="AD94" i="4" s="1"/>
  <c r="AB69" i="4"/>
  <c r="AB94" i="4" s="1"/>
  <c r="Z69" i="4"/>
  <c r="Z94" i="4" s="1"/>
  <c r="X69" i="4"/>
  <c r="X94" i="4" s="1"/>
  <c r="V69" i="4"/>
  <c r="V94" i="4" s="1"/>
  <c r="T69" i="4"/>
  <c r="T94" i="4" s="1"/>
  <c r="AH68" i="4"/>
  <c r="AH93" i="4" s="1"/>
  <c r="AF68" i="4"/>
  <c r="AF93" i="4" s="1"/>
  <c r="AD68" i="4"/>
  <c r="AD93" i="4" s="1"/>
  <c r="AB68" i="4"/>
  <c r="AB93" i="4" s="1"/>
  <c r="Z68" i="4"/>
  <c r="Z93" i="4" s="1"/>
  <c r="X68" i="4"/>
  <c r="X93" i="4" s="1"/>
  <c r="V68" i="4"/>
  <c r="V93" i="4" s="1"/>
  <c r="T68" i="4"/>
  <c r="T93" i="4" s="1"/>
  <c r="AH67" i="4"/>
  <c r="AH92" i="4" s="1"/>
  <c r="AF67" i="4"/>
  <c r="AF92" i="4" s="1"/>
  <c r="AD67" i="4"/>
  <c r="AD92" i="4" s="1"/>
  <c r="AB67" i="4"/>
  <c r="AB92" i="4" s="1"/>
  <c r="Z67" i="4"/>
  <c r="Z92" i="4" s="1"/>
  <c r="X67" i="4"/>
  <c r="X92" i="4" s="1"/>
  <c r="V67" i="4"/>
  <c r="V92" i="4" s="1"/>
  <c r="T67" i="4"/>
  <c r="T92" i="4" s="1"/>
  <c r="AH66" i="4"/>
  <c r="AH91" i="4" s="1"/>
  <c r="AF66" i="4"/>
  <c r="AF91" i="4" s="1"/>
  <c r="AD66" i="4"/>
  <c r="AD91" i="4" s="1"/>
  <c r="AB66" i="4"/>
  <c r="AB91" i="4" s="1"/>
  <c r="Z66" i="4"/>
  <c r="Z91" i="4" s="1"/>
  <c r="X66" i="4"/>
  <c r="X91" i="4" s="1"/>
  <c r="V66" i="4"/>
  <c r="V91" i="4" s="1"/>
  <c r="T66" i="4"/>
  <c r="T91" i="4" s="1"/>
  <c r="AH65" i="4"/>
  <c r="AH90" i="4" s="1"/>
  <c r="AF65" i="4"/>
  <c r="AF90" i="4" s="1"/>
  <c r="AD65" i="4"/>
  <c r="AD90" i="4" s="1"/>
  <c r="AB65" i="4"/>
  <c r="AB90" i="4" s="1"/>
  <c r="Z65" i="4"/>
  <c r="Z90" i="4" s="1"/>
  <c r="X65" i="4"/>
  <c r="X90" i="4" s="1"/>
  <c r="V65" i="4"/>
  <c r="V90" i="4" s="1"/>
  <c r="T65" i="4"/>
  <c r="T90" i="4" s="1"/>
  <c r="AH64" i="4"/>
  <c r="AH89" i="4" s="1"/>
  <c r="AF64" i="4"/>
  <c r="AF89" i="4" s="1"/>
  <c r="AD64" i="4"/>
  <c r="AD89" i="4" s="1"/>
  <c r="AB64" i="4"/>
  <c r="AB89" i="4" s="1"/>
  <c r="Z64" i="4"/>
  <c r="Z89" i="4" s="1"/>
  <c r="X64" i="4"/>
  <c r="X89" i="4" s="1"/>
  <c r="V64" i="4"/>
  <c r="V89" i="4" s="1"/>
  <c r="T64" i="4"/>
  <c r="T89" i="4" s="1"/>
  <c r="AH63" i="4"/>
  <c r="AH88" i="4" s="1"/>
  <c r="AF63" i="4"/>
  <c r="AF88" i="4" s="1"/>
  <c r="AD63" i="4"/>
  <c r="AD88" i="4" s="1"/>
  <c r="AB63" i="4"/>
  <c r="AB88" i="4" s="1"/>
  <c r="Z63" i="4"/>
  <c r="Z88" i="4" s="1"/>
  <c r="X63" i="4"/>
  <c r="X88" i="4" s="1"/>
  <c r="V63" i="4"/>
  <c r="V88" i="4" s="1"/>
  <c r="T63" i="4"/>
  <c r="T88" i="4" s="1"/>
  <c r="AH62" i="4"/>
  <c r="AH87" i="4" s="1"/>
  <c r="AF62" i="4"/>
  <c r="AF87" i="4" s="1"/>
  <c r="AD62" i="4"/>
  <c r="AD87" i="4" s="1"/>
  <c r="AB62" i="4"/>
  <c r="AB87" i="4" s="1"/>
  <c r="Z62" i="4"/>
  <c r="Z87" i="4" s="1"/>
  <c r="X62" i="4"/>
  <c r="X87" i="4" s="1"/>
  <c r="V62" i="4"/>
  <c r="V87" i="4" s="1"/>
  <c r="T62" i="4"/>
  <c r="T87" i="4" s="1"/>
  <c r="R62" i="4"/>
  <c r="AH61" i="4"/>
  <c r="AH86" i="4" s="1"/>
  <c r="AF61" i="4"/>
  <c r="AF86" i="4" s="1"/>
  <c r="AD61" i="4"/>
  <c r="AD86" i="4" s="1"/>
  <c r="AB61" i="4"/>
  <c r="AB86" i="4" s="1"/>
  <c r="Z61" i="4"/>
  <c r="Z86" i="4" s="1"/>
  <c r="X61" i="4"/>
  <c r="X86" i="4" s="1"/>
  <c r="V61" i="4"/>
  <c r="V86" i="4" s="1"/>
  <c r="T61" i="4"/>
  <c r="T86" i="4" s="1"/>
  <c r="AH60" i="4"/>
  <c r="AH85" i="4" s="1"/>
  <c r="AF60" i="4"/>
  <c r="AF85" i="4" s="1"/>
  <c r="AD60" i="4"/>
  <c r="AD85" i="4" s="1"/>
  <c r="AB60" i="4"/>
  <c r="AB85" i="4" s="1"/>
  <c r="Z60" i="4"/>
  <c r="Z85" i="4" s="1"/>
  <c r="X60" i="4"/>
  <c r="X85" i="4" s="1"/>
  <c r="V60" i="4"/>
  <c r="V85" i="4" s="1"/>
  <c r="T60" i="4"/>
  <c r="T85" i="4" s="1"/>
  <c r="AH59" i="4"/>
  <c r="AH84" i="4" s="1"/>
  <c r="AF59" i="4"/>
  <c r="AF84" i="4" s="1"/>
  <c r="AD59" i="4"/>
  <c r="AD84" i="4" s="1"/>
  <c r="AB59" i="4"/>
  <c r="AB84" i="4" s="1"/>
  <c r="Z59" i="4"/>
  <c r="Z84" i="4" s="1"/>
  <c r="X59" i="4"/>
  <c r="X84" i="4" s="1"/>
  <c r="V59" i="4"/>
  <c r="V84" i="4" s="1"/>
  <c r="T59" i="4"/>
  <c r="T84" i="4" s="1"/>
  <c r="U53" i="4"/>
  <c r="S53" i="4"/>
  <c r="M53" i="4"/>
  <c r="U52" i="4"/>
  <c r="U92" i="4" s="1"/>
  <c r="S52" i="4"/>
  <c r="M52" i="4"/>
  <c r="M92" i="4" s="1"/>
  <c r="U51" i="4"/>
  <c r="S51" i="4"/>
  <c r="S91" i="4" s="1"/>
  <c r="M51" i="4"/>
  <c r="U50" i="4"/>
  <c r="S50" i="4"/>
  <c r="M50" i="4"/>
  <c r="M65" i="4" s="1"/>
  <c r="M8" i="4" s="1"/>
  <c r="U49" i="4"/>
  <c r="U89" i="4" s="1"/>
  <c r="S49" i="4"/>
  <c r="S64" i="4" s="1"/>
  <c r="M49" i="4"/>
  <c r="U48" i="4"/>
  <c r="U63" i="4" s="1"/>
  <c r="S48" i="4"/>
  <c r="S88" i="4" s="1"/>
  <c r="M48" i="4"/>
  <c r="M88" i="4" s="1"/>
  <c r="U47" i="4"/>
  <c r="U62" i="4" s="1"/>
  <c r="S47" i="4"/>
  <c r="M47" i="4"/>
  <c r="U46" i="4"/>
  <c r="U86" i="4" s="1"/>
  <c r="S46" i="4"/>
  <c r="S61" i="4" s="1"/>
  <c r="M46" i="4"/>
  <c r="M86" i="4" s="1"/>
  <c r="U45" i="4"/>
  <c r="S45" i="4"/>
  <c r="S85" i="4" s="1"/>
  <c r="M45" i="4"/>
  <c r="M60" i="4" s="1"/>
  <c r="N60" i="4" s="1"/>
  <c r="S44" i="4"/>
  <c r="K44" i="4"/>
  <c r="I43" i="4"/>
  <c r="AH42" i="4"/>
  <c r="AH57" i="4" s="1"/>
  <c r="AF42" i="4"/>
  <c r="AF57" i="4" s="1"/>
  <c r="AD42" i="4"/>
  <c r="AD57" i="4" s="1"/>
  <c r="AB42" i="4"/>
  <c r="AB82" i="4" s="1"/>
  <c r="Z42" i="4"/>
  <c r="Z82" i="4" s="1"/>
  <c r="X42" i="4"/>
  <c r="X82" i="4" s="1"/>
  <c r="V42" i="4"/>
  <c r="V82" i="4" s="1"/>
  <c r="T42" i="4"/>
  <c r="T82" i="4" s="1"/>
  <c r="R42" i="4"/>
  <c r="R57" i="4" s="1"/>
  <c r="P42" i="4"/>
  <c r="P82" i="4" s="1"/>
  <c r="N42" i="4"/>
  <c r="N57" i="4" s="1"/>
  <c r="L42" i="4"/>
  <c r="L57" i="4" s="1"/>
  <c r="J42" i="4"/>
  <c r="J82" i="4" s="1"/>
  <c r="H42" i="4"/>
  <c r="H82" i="4" s="1"/>
  <c r="F42" i="4"/>
  <c r="F82" i="4" s="1"/>
  <c r="C20" i="4"/>
  <c r="C21" i="4" s="1"/>
  <c r="C22" i="4" s="1"/>
  <c r="C23" i="4" s="1"/>
  <c r="C24" i="4" s="1"/>
  <c r="C25" i="4" s="1"/>
  <c r="C26" i="4" s="1"/>
  <c r="C27" i="4" s="1"/>
  <c r="C28" i="4" s="1"/>
  <c r="C29" i="4" s="1"/>
  <c r="C30" i="4" s="1"/>
  <c r="C31" i="4" s="1"/>
  <c r="C32" i="4" s="1"/>
  <c r="C33" i="4" s="1"/>
  <c r="C34" i="4" s="1"/>
  <c r="D19" i="4"/>
  <c r="D20" i="4" s="1"/>
  <c r="D21" i="4" s="1"/>
  <c r="D22" i="4" s="1"/>
  <c r="D23" i="4" s="1"/>
  <c r="D24" i="4" s="1"/>
  <c r="D25" i="4" s="1"/>
  <c r="D26" i="4" s="1"/>
  <c r="D27" i="4" s="1"/>
  <c r="D28" i="4" s="1"/>
  <c r="D29" i="4" s="1"/>
  <c r="D30" i="4" s="1"/>
  <c r="D31" i="4" s="1"/>
  <c r="D32" i="4" s="1"/>
  <c r="D33" i="4" s="1"/>
  <c r="D34" i="4" s="1"/>
  <c r="C19" i="4"/>
  <c r="D18" i="4"/>
  <c r="D35" i="4" s="1"/>
  <c r="AG14" i="4"/>
  <c r="AE14" i="4"/>
  <c r="AE80" i="4" s="1"/>
  <c r="AC14" i="4"/>
  <c r="AA14" i="4"/>
  <c r="Y14" i="4"/>
  <c r="Y80" i="4" s="1"/>
  <c r="W14" i="4"/>
  <c r="W43" i="4" s="1"/>
  <c r="U14" i="4"/>
  <c r="U43" i="4" s="1"/>
  <c r="U58" i="4" s="1"/>
  <c r="S14" i="4"/>
  <c r="S43" i="4" s="1"/>
  <c r="Q14" i="4"/>
  <c r="O14" i="4"/>
  <c r="M14" i="4"/>
  <c r="K14" i="4"/>
  <c r="I14" i="4"/>
  <c r="G14" i="4"/>
  <c r="E14" i="4"/>
  <c r="E43" i="4" s="1"/>
  <c r="AG13" i="4"/>
  <c r="AG79" i="4" s="1"/>
  <c r="AE13" i="4"/>
  <c r="AE79" i="4" s="1"/>
  <c r="AC13" i="4"/>
  <c r="AC79" i="4" s="1"/>
  <c r="AA13" i="4"/>
  <c r="AA79" i="4" s="1"/>
  <c r="Y13" i="4"/>
  <c r="Y79" i="4" s="1"/>
  <c r="W13" i="4"/>
  <c r="W79" i="4" s="1"/>
  <c r="U13" i="4"/>
  <c r="U79" i="4" s="1"/>
  <c r="S13" i="4"/>
  <c r="S79" i="4" s="1"/>
  <c r="AG12" i="4"/>
  <c r="AE12" i="4"/>
  <c r="AC12" i="4"/>
  <c r="AC78" i="4" s="1"/>
  <c r="AA12" i="4"/>
  <c r="AA78" i="4" s="1"/>
  <c r="Y12" i="4"/>
  <c r="W12" i="4"/>
  <c r="W78" i="4" s="1"/>
  <c r="U12" i="4"/>
  <c r="U44" i="4" s="1"/>
  <c r="U84" i="4" s="1"/>
  <c r="S12" i="4"/>
  <c r="S78" i="4" s="1"/>
  <c r="Q12" i="4"/>
  <c r="O12" i="4"/>
  <c r="M12" i="4"/>
  <c r="K12" i="4"/>
  <c r="K53" i="4" s="1"/>
  <c r="I12" i="4"/>
  <c r="I78" i="4" s="1"/>
  <c r="G12" i="4"/>
  <c r="G78" i="4" s="1"/>
  <c r="E12" i="4"/>
  <c r="E45" i="4" s="1"/>
  <c r="AG11" i="4"/>
  <c r="AG77" i="4" s="1"/>
  <c r="AE11" i="4"/>
  <c r="AE77" i="4" s="1"/>
  <c r="AC11" i="4"/>
  <c r="AC77" i="4" s="1"/>
  <c r="AA11" i="4"/>
  <c r="AA7" i="4" s="1"/>
  <c r="AA73" i="4" s="1"/>
  <c r="Y11" i="4"/>
  <c r="Y77" i="4" s="1"/>
  <c r="W11" i="4"/>
  <c r="W77" i="4" s="1"/>
  <c r="U11" i="4"/>
  <c r="U77" i="4" s="1"/>
  <c r="S11" i="4"/>
  <c r="S7" i="4" s="1"/>
  <c r="S73" i="4" s="1"/>
  <c r="Q11" i="4"/>
  <c r="Q7" i="4" s="1"/>
  <c r="O11" i="4"/>
  <c r="O77" i="4" s="1"/>
  <c r="M11" i="4"/>
  <c r="M7" i="4" s="1"/>
  <c r="K11" i="4"/>
  <c r="K7" i="4" s="1"/>
  <c r="I11" i="4"/>
  <c r="I7" i="4" s="1"/>
  <c r="G11" i="4"/>
  <c r="G77" i="4" s="1"/>
  <c r="E11" i="4"/>
  <c r="E77" i="4" s="1"/>
  <c r="AH10" i="4"/>
  <c r="AG76" i="4" s="1"/>
  <c r="AG10" i="4"/>
  <c r="AF10" i="4"/>
  <c r="AE10" i="4"/>
  <c r="AD10" i="4"/>
  <c r="AC10" i="4"/>
  <c r="AB10" i="4"/>
  <c r="AA76" i="4" s="1"/>
  <c r="AA10" i="4"/>
  <c r="Z10" i="4"/>
  <c r="Y76" i="4" s="1"/>
  <c r="Y10" i="4"/>
  <c r="X10" i="4"/>
  <c r="W10" i="4"/>
  <c r="V10" i="4"/>
  <c r="U76" i="4" s="1"/>
  <c r="U10" i="4"/>
  <c r="T10" i="4"/>
  <c r="S76" i="4" s="1"/>
  <c r="S10" i="4"/>
  <c r="R10" i="4"/>
  <c r="Q76" i="4" s="1"/>
  <c r="P10" i="4"/>
  <c r="N10" i="4"/>
  <c r="M76" i="4" s="1"/>
  <c r="L10" i="4"/>
  <c r="K76" i="4" s="1"/>
  <c r="J10" i="4"/>
  <c r="H10" i="4"/>
  <c r="G76" i="4" s="1"/>
  <c r="F10" i="4"/>
  <c r="AG9" i="4"/>
  <c r="AG75" i="4" s="1"/>
  <c r="AE9" i="4"/>
  <c r="AE75" i="4" s="1"/>
  <c r="AC9" i="4"/>
  <c r="AC75" i="4" s="1"/>
  <c r="AA9" i="4"/>
  <c r="AA75" i="4" s="1"/>
  <c r="Y9" i="4"/>
  <c r="Y75" i="4" s="1"/>
  <c r="W9" i="4"/>
  <c r="W75" i="4" s="1"/>
  <c r="U9" i="4"/>
  <c r="U75" i="4" s="1"/>
  <c r="S9" i="4"/>
  <c r="S75" i="4" s="1"/>
  <c r="AG8" i="4"/>
  <c r="AG74" i="4" s="1"/>
  <c r="AE8" i="4"/>
  <c r="AE74" i="4" s="1"/>
  <c r="AC8" i="4"/>
  <c r="AC74" i="4" s="1"/>
  <c r="AA8" i="4"/>
  <c r="AA74" i="4" s="1"/>
  <c r="Y8" i="4"/>
  <c r="Y74" i="4" s="1"/>
  <c r="W8" i="4"/>
  <c r="W74" i="4" s="1"/>
  <c r="U8" i="4"/>
  <c r="U74" i="4" s="1"/>
  <c r="S8" i="4"/>
  <c r="S74" i="4" s="1"/>
  <c r="AG2" i="4"/>
  <c r="AE2" i="4"/>
  <c r="AC2" i="4"/>
  <c r="AA2" i="4"/>
  <c r="Y2" i="4"/>
  <c r="W2" i="4"/>
  <c r="U2" i="4"/>
  <c r="S2" i="4"/>
  <c r="Q2" i="4"/>
  <c r="O2" i="4"/>
  <c r="M2" i="4"/>
  <c r="K2" i="4"/>
  <c r="I2" i="4"/>
  <c r="G2" i="4"/>
  <c r="E2" i="4"/>
  <c r="L147" i="3"/>
  <c r="L801" i="6" s="1"/>
  <c r="G147" i="3"/>
  <c r="G801" i="6" s="1"/>
  <c r="B147" i="3"/>
  <c r="B801" i="6" s="1"/>
  <c r="N142" i="3"/>
  <c r="M145" i="3" s="1"/>
  <c r="K142" i="3"/>
  <c r="K796" i="6" s="1"/>
  <c r="F142" i="3"/>
  <c r="F796" i="6" s="1"/>
  <c r="A142" i="3"/>
  <c r="A796" i="6" s="1"/>
  <c r="L139" i="3"/>
  <c r="L793" i="6" s="1"/>
  <c r="G139" i="3"/>
  <c r="G793" i="6" s="1"/>
  <c r="B139" i="3"/>
  <c r="B793" i="6" s="1"/>
  <c r="K134" i="3"/>
  <c r="K788" i="6" s="1"/>
  <c r="F134" i="3"/>
  <c r="F788" i="6" s="1"/>
  <c r="A134" i="3"/>
  <c r="A788" i="6" s="1"/>
  <c r="H132" i="3"/>
  <c r="H786" i="6" s="1"/>
  <c r="D132" i="3"/>
  <c r="D786" i="6" s="1"/>
  <c r="H131" i="3"/>
  <c r="E87" i="3"/>
  <c r="E739" i="6" s="1"/>
  <c r="H81" i="3"/>
  <c r="H732" i="6" s="1"/>
  <c r="L11" i="3"/>
  <c r="L186" i="6" s="1"/>
  <c r="I11" i="3"/>
  <c r="I186" i="6" s="1"/>
  <c r="L10" i="3"/>
  <c r="L185" i="6" s="1"/>
  <c r="I10" i="3"/>
  <c r="I185" i="6" s="1"/>
  <c r="F10" i="3"/>
  <c r="M85" i="3" s="1"/>
  <c r="M737" i="6" s="1"/>
  <c r="F9" i="3"/>
  <c r="O9" i="3" s="1"/>
  <c r="O182" i="6" s="1"/>
  <c r="A5" i="3"/>
  <c r="A178" i="6" s="1"/>
  <c r="AE159" i="2"/>
  <c r="AC159" i="2"/>
  <c r="AA159" i="2"/>
  <c r="Y159" i="2"/>
  <c r="W159" i="2"/>
  <c r="U159" i="2"/>
  <c r="S159" i="2"/>
  <c r="Q159" i="2"/>
  <c r="O159" i="2"/>
  <c r="M159" i="2"/>
  <c r="K159" i="2"/>
  <c r="I159" i="2"/>
  <c r="G159" i="2"/>
  <c r="E159" i="2"/>
  <c r="AE158" i="2"/>
  <c r="AC158" i="2"/>
  <c r="AA158" i="2"/>
  <c r="Y158" i="2"/>
  <c r="W158" i="2"/>
  <c r="U158" i="2"/>
  <c r="S158" i="2"/>
  <c r="Q158" i="2"/>
  <c r="O158" i="2"/>
  <c r="M158" i="2"/>
  <c r="K158" i="2"/>
  <c r="I158" i="2"/>
  <c r="G158" i="2"/>
  <c r="E158" i="2"/>
  <c r="AE157" i="2"/>
  <c r="AC157" i="2"/>
  <c r="AA157" i="2"/>
  <c r="Y157" i="2"/>
  <c r="W157" i="2"/>
  <c r="U157" i="2"/>
  <c r="S157" i="2"/>
  <c r="Q157" i="2"/>
  <c r="O157" i="2"/>
  <c r="M157" i="2"/>
  <c r="K157" i="2"/>
  <c r="I157" i="2"/>
  <c r="G157" i="2"/>
  <c r="E157" i="2"/>
  <c r="AE156" i="2"/>
  <c r="AC156" i="2"/>
  <c r="AA156" i="2"/>
  <c r="Y156" i="2"/>
  <c r="W156" i="2"/>
  <c r="U156" i="2"/>
  <c r="S156" i="2"/>
  <c r="Q156" i="2"/>
  <c r="O156" i="2"/>
  <c r="M156" i="2"/>
  <c r="K156" i="2"/>
  <c r="I156" i="2"/>
  <c r="G156" i="2"/>
  <c r="E156" i="2"/>
  <c r="AE155" i="2"/>
  <c r="AC155" i="2"/>
  <c r="AA155" i="2"/>
  <c r="Y155" i="2"/>
  <c r="W155" i="2"/>
  <c r="U155" i="2"/>
  <c r="S155" i="2"/>
  <c r="Q155" i="2"/>
  <c r="O155" i="2"/>
  <c r="M155" i="2"/>
  <c r="K155" i="2"/>
  <c r="I155" i="2"/>
  <c r="G155" i="2"/>
  <c r="E155" i="2"/>
  <c r="AE154" i="2"/>
  <c r="AC154" i="2"/>
  <c r="AA154" i="2"/>
  <c r="Y154" i="2"/>
  <c r="W154" i="2"/>
  <c r="U154" i="2"/>
  <c r="S154" i="2"/>
  <c r="Q154" i="2"/>
  <c r="O154" i="2"/>
  <c r="M154" i="2"/>
  <c r="K154" i="2"/>
  <c r="I154" i="2"/>
  <c r="G154" i="2"/>
  <c r="E154" i="2"/>
  <c r="AE153" i="2"/>
  <c r="AC153" i="2"/>
  <c r="AA153" i="2"/>
  <c r="Y153" i="2"/>
  <c r="W153" i="2"/>
  <c r="U153" i="2"/>
  <c r="S153" i="2"/>
  <c r="Q153" i="2"/>
  <c r="O153" i="2"/>
  <c r="M153" i="2"/>
  <c r="K153" i="2"/>
  <c r="I153" i="2"/>
  <c r="G153" i="2"/>
  <c r="E153" i="2"/>
  <c r="AE152" i="2"/>
  <c r="AC152" i="2"/>
  <c r="AA152" i="2"/>
  <c r="Y152" i="2"/>
  <c r="W152" i="2"/>
  <c r="U152" i="2"/>
  <c r="S152" i="2"/>
  <c r="Q152" i="2"/>
  <c r="O152" i="2"/>
  <c r="M152" i="2"/>
  <c r="K152" i="2"/>
  <c r="I152" i="2"/>
  <c r="G152" i="2"/>
  <c r="E152" i="2"/>
  <c r="AE151" i="2"/>
  <c r="AC151" i="2"/>
  <c r="AA151" i="2"/>
  <c r="Y151" i="2"/>
  <c r="W151" i="2"/>
  <c r="U151" i="2"/>
  <c r="S151" i="2"/>
  <c r="Q151" i="2"/>
  <c r="O151" i="2"/>
  <c r="M151" i="2"/>
  <c r="K151" i="2"/>
  <c r="I151" i="2"/>
  <c r="G151" i="2"/>
  <c r="E151" i="2"/>
  <c r="AE150" i="2"/>
  <c r="AC150" i="2"/>
  <c r="AA150" i="2"/>
  <c r="Y150" i="2"/>
  <c r="W150" i="2"/>
  <c r="U150" i="2"/>
  <c r="S150" i="2"/>
  <c r="Q150" i="2"/>
  <c r="O150" i="2"/>
  <c r="M150" i="2"/>
  <c r="K150" i="2"/>
  <c r="I150" i="2"/>
  <c r="G150" i="2"/>
  <c r="E150" i="2"/>
  <c r="G148" i="2"/>
  <c r="E148" i="2"/>
  <c r="AF147" i="2"/>
  <c r="P144" i="7" s="1"/>
  <c r="X147" i="2"/>
  <c r="L144" i="7" s="1"/>
  <c r="N147" i="2"/>
  <c r="G147" i="2"/>
  <c r="E147" i="2"/>
  <c r="AF146" i="2"/>
  <c r="P143" i="7" s="1"/>
  <c r="X146" i="2"/>
  <c r="L143" i="7" s="1"/>
  <c r="P146" i="2"/>
  <c r="H143" i="7" s="1"/>
  <c r="G146" i="2"/>
  <c r="E146" i="2"/>
  <c r="V145" i="2"/>
  <c r="K142" i="7" s="1"/>
  <c r="G145" i="2"/>
  <c r="E145" i="2"/>
  <c r="AF144" i="2"/>
  <c r="P141" i="7" s="1"/>
  <c r="X144" i="2"/>
  <c r="L141" i="7" s="1"/>
  <c r="P144" i="2"/>
  <c r="H141" i="7" s="1"/>
  <c r="G144" i="2"/>
  <c r="E144" i="2"/>
  <c r="AF143" i="2"/>
  <c r="P140" i="7" s="1"/>
  <c r="X143" i="2"/>
  <c r="L140" i="7" s="1"/>
  <c r="P143" i="2"/>
  <c r="H140" i="7" s="1"/>
  <c r="G143" i="2"/>
  <c r="E143" i="2"/>
  <c r="AF142" i="2"/>
  <c r="P139" i="7" s="1"/>
  <c r="X142" i="2"/>
  <c r="L139" i="7" s="1"/>
  <c r="H142" i="2"/>
  <c r="D139" i="7" s="1"/>
  <c r="F142" i="2"/>
  <c r="C139" i="7" s="1"/>
  <c r="AF141" i="2"/>
  <c r="P138" i="7" s="1"/>
  <c r="X141" i="2"/>
  <c r="L138" i="7" s="1"/>
  <c r="R141" i="2"/>
  <c r="I138" i="7" s="1"/>
  <c r="P141" i="2"/>
  <c r="H138" i="7" s="1"/>
  <c r="G141" i="2"/>
  <c r="E141" i="2"/>
  <c r="X140" i="2"/>
  <c r="L137" i="7" s="1"/>
  <c r="V140" i="2"/>
  <c r="K137" i="7" s="1"/>
  <c r="G140" i="2"/>
  <c r="E140" i="2"/>
  <c r="AF139" i="2"/>
  <c r="P136" i="7" s="1"/>
  <c r="S136" i="8" s="1"/>
  <c r="AB139" i="2"/>
  <c r="N136" i="7" s="1"/>
  <c r="Q136" i="8" s="1"/>
  <c r="V139" i="2"/>
  <c r="K136" i="7" s="1"/>
  <c r="N136" i="8" s="1"/>
  <c r="P139" i="2"/>
  <c r="H136" i="7" s="1"/>
  <c r="K136" i="8" s="1"/>
  <c r="L139" i="2"/>
  <c r="F136" i="7" s="1"/>
  <c r="I136" i="8" s="1"/>
  <c r="F139" i="2"/>
  <c r="C136" i="7" s="1"/>
  <c r="F136" i="8" s="1"/>
  <c r="AF138" i="2"/>
  <c r="AD138" i="2"/>
  <c r="AD143" i="2" s="1"/>
  <c r="O140" i="7" s="1"/>
  <c r="AB138" i="2"/>
  <c r="AB142" i="2" s="1"/>
  <c r="N139" i="7" s="1"/>
  <c r="Z138" i="2"/>
  <c r="Z147" i="2" s="1"/>
  <c r="M144" i="7" s="1"/>
  <c r="X138" i="2"/>
  <c r="X139" i="2" s="1"/>
  <c r="L136" i="7" s="1"/>
  <c r="O136" i="8" s="1"/>
  <c r="V138" i="2"/>
  <c r="V143" i="2" s="1"/>
  <c r="K140" i="7" s="1"/>
  <c r="T138" i="2"/>
  <c r="R138" i="2"/>
  <c r="R148" i="2" s="1"/>
  <c r="P138" i="2"/>
  <c r="N138" i="2"/>
  <c r="L138" i="2"/>
  <c r="J138" i="2"/>
  <c r="J147" i="2" s="1"/>
  <c r="E144" i="7" s="1"/>
  <c r="H138" i="2"/>
  <c r="H139" i="2" s="1"/>
  <c r="D136" i="7" s="1"/>
  <c r="G136" i="8" s="1"/>
  <c r="F138" i="2"/>
  <c r="D138" i="2"/>
  <c r="D139" i="2" s="1"/>
  <c r="B136" i="7" s="1"/>
  <c r="E136" i="8" s="1"/>
  <c r="Z135" i="2"/>
  <c r="M133" i="7" s="1"/>
  <c r="J135" i="2"/>
  <c r="E133" i="7" s="1"/>
  <c r="AF134" i="2"/>
  <c r="P132" i="7" s="1"/>
  <c r="Z134" i="2"/>
  <c r="M132" i="7" s="1"/>
  <c r="X134" i="2"/>
  <c r="L132" i="7" s="1"/>
  <c r="R134" i="2"/>
  <c r="I132" i="7" s="1"/>
  <c r="P134" i="2"/>
  <c r="H132" i="7" s="1"/>
  <c r="J134" i="2"/>
  <c r="E132" i="7" s="1"/>
  <c r="H134" i="2"/>
  <c r="D132" i="7" s="1"/>
  <c r="AD133" i="2"/>
  <c r="O131" i="7" s="1"/>
  <c r="V133" i="2"/>
  <c r="K131" i="7" s="1"/>
  <c r="N133" i="2"/>
  <c r="G131" i="7" s="1"/>
  <c r="F133" i="2"/>
  <c r="C131" i="7" s="1"/>
  <c r="AF132" i="2"/>
  <c r="P130" i="7" s="1"/>
  <c r="AD132" i="2"/>
  <c r="O130" i="7" s="1"/>
  <c r="X132" i="2"/>
  <c r="L130" i="7" s="1"/>
  <c r="V132" i="2"/>
  <c r="K130" i="7" s="1"/>
  <c r="P132" i="2"/>
  <c r="H130" i="7" s="1"/>
  <c r="N132" i="2"/>
  <c r="G130" i="7" s="1"/>
  <c r="H132" i="2"/>
  <c r="D130" i="7" s="1"/>
  <c r="F132" i="2"/>
  <c r="C130" i="7" s="1"/>
  <c r="AF131" i="2"/>
  <c r="P129" i="7" s="1"/>
  <c r="AD131" i="2"/>
  <c r="O129" i="7" s="1"/>
  <c r="AB131" i="2"/>
  <c r="N129" i="7" s="1"/>
  <c r="AA131" i="2"/>
  <c r="Z131" i="2"/>
  <c r="M129" i="7" s="1"/>
  <c r="Y131" i="2"/>
  <c r="X131" i="2"/>
  <c r="L129" i="7" s="1"/>
  <c r="V131" i="2"/>
  <c r="K129" i="7" s="1"/>
  <c r="T131" i="2"/>
  <c r="J129" i="7" s="1"/>
  <c r="S131" i="2"/>
  <c r="R131" i="2"/>
  <c r="I129" i="7" s="1"/>
  <c r="Q131" i="2"/>
  <c r="P131" i="2"/>
  <c r="H129" i="7" s="1"/>
  <c r="N131" i="2"/>
  <c r="G129" i="7" s="1"/>
  <c r="L131" i="2"/>
  <c r="F129" i="7" s="1"/>
  <c r="K131" i="2"/>
  <c r="J131" i="2"/>
  <c r="E129" i="7" s="1"/>
  <c r="I131" i="2"/>
  <c r="H131" i="2"/>
  <c r="D129" i="7" s="1"/>
  <c r="F131" i="2"/>
  <c r="C129" i="7" s="1"/>
  <c r="D131" i="2"/>
  <c r="B129" i="7" s="1"/>
  <c r="AF130" i="2"/>
  <c r="P128" i="7" s="1"/>
  <c r="AE130" i="2"/>
  <c r="AD130" i="2"/>
  <c r="O128" i="7" s="1"/>
  <c r="AB130" i="2"/>
  <c r="N128" i="7" s="1"/>
  <c r="Z130" i="2"/>
  <c r="M128" i="7" s="1"/>
  <c r="Y130" i="2"/>
  <c r="X130" i="2"/>
  <c r="L128" i="7" s="1"/>
  <c r="W130" i="2"/>
  <c r="V130" i="2"/>
  <c r="K128" i="7" s="1"/>
  <c r="T130" i="2"/>
  <c r="J128" i="7" s="1"/>
  <c r="R130" i="2"/>
  <c r="I128" i="7" s="1"/>
  <c r="Q130" i="2"/>
  <c r="P130" i="2"/>
  <c r="H128" i="7" s="1"/>
  <c r="O130" i="2"/>
  <c r="N130" i="2"/>
  <c r="G128" i="7" s="1"/>
  <c r="L130" i="2"/>
  <c r="F128" i="7" s="1"/>
  <c r="J130" i="2"/>
  <c r="E128" i="7" s="1"/>
  <c r="I130" i="2"/>
  <c r="H130" i="2"/>
  <c r="D128" i="7" s="1"/>
  <c r="G130" i="2"/>
  <c r="F130" i="2"/>
  <c r="C128" i="7" s="1"/>
  <c r="D130" i="2"/>
  <c r="B128" i="7" s="1"/>
  <c r="AF122" i="2"/>
  <c r="P120" i="7" s="1"/>
  <c r="AD122" i="2"/>
  <c r="O120" i="7" s="1"/>
  <c r="AB122" i="2"/>
  <c r="N120" i="7" s="1"/>
  <c r="Z122" i="2"/>
  <c r="M120" i="7" s="1"/>
  <c r="X122" i="2"/>
  <c r="L120" i="7" s="1"/>
  <c r="AF121" i="2"/>
  <c r="P119" i="7" s="1"/>
  <c r="AD121" i="2"/>
  <c r="O119" i="7" s="1"/>
  <c r="AB121" i="2"/>
  <c r="N119" i="7" s="1"/>
  <c r="Z121" i="2"/>
  <c r="M119" i="7" s="1"/>
  <c r="X121" i="2"/>
  <c r="L119" i="7" s="1"/>
  <c r="AE120" i="2"/>
  <c r="AC120" i="2"/>
  <c r="AA120" i="2"/>
  <c r="Y120" i="2"/>
  <c r="W120" i="2"/>
  <c r="U120" i="2"/>
  <c r="S120" i="2"/>
  <c r="Q120" i="2"/>
  <c r="O120" i="2"/>
  <c r="M120" i="2"/>
  <c r="K120" i="2"/>
  <c r="I120" i="2"/>
  <c r="G120" i="2"/>
  <c r="E120" i="2"/>
  <c r="AE119" i="2"/>
  <c r="AC119" i="2"/>
  <c r="AA119" i="2"/>
  <c r="Y119" i="2"/>
  <c r="W119" i="2"/>
  <c r="U119" i="2"/>
  <c r="S119" i="2"/>
  <c r="Q119" i="2"/>
  <c r="O119" i="2"/>
  <c r="M119" i="2"/>
  <c r="K119" i="2"/>
  <c r="I119" i="2"/>
  <c r="G119" i="2"/>
  <c r="E119" i="2"/>
  <c r="AF117" i="2"/>
  <c r="P115" i="7" s="1"/>
  <c r="AF116" i="2"/>
  <c r="P114" i="7" s="1"/>
  <c r="AD116" i="2"/>
  <c r="O114" i="7" s="1"/>
  <c r="AC116" i="2"/>
  <c r="AB116" i="2"/>
  <c r="N114" i="7" s="1"/>
  <c r="X116" i="2"/>
  <c r="L114" i="7" s="1"/>
  <c r="P116" i="2"/>
  <c r="H114" i="7" s="1"/>
  <c r="H116" i="2"/>
  <c r="D114" i="7" s="1"/>
  <c r="AF115" i="2"/>
  <c r="P113" i="7" s="1"/>
  <c r="AD115" i="2"/>
  <c r="O113" i="7" s="1"/>
  <c r="AB115" i="2"/>
  <c r="N113" i="7" s="1"/>
  <c r="AA115" i="2"/>
  <c r="Z115" i="2"/>
  <c r="M113" i="7" s="1"/>
  <c r="Y115" i="2"/>
  <c r="X115" i="2"/>
  <c r="L113" i="7" s="1"/>
  <c r="V115" i="2"/>
  <c r="K113" i="7" s="1"/>
  <c r="T115" i="2"/>
  <c r="J113" i="7" s="1"/>
  <c r="S115" i="2"/>
  <c r="R115" i="2"/>
  <c r="I113" i="7" s="1"/>
  <c r="Q115" i="2"/>
  <c r="P115" i="2"/>
  <c r="H113" i="7" s="1"/>
  <c r="N115" i="2"/>
  <c r="G113" i="7" s="1"/>
  <c r="L115" i="2"/>
  <c r="F113" i="7" s="1"/>
  <c r="K115" i="2"/>
  <c r="J115" i="2"/>
  <c r="E113" i="7" s="1"/>
  <c r="I115" i="2"/>
  <c r="H115" i="2"/>
  <c r="D113" i="7" s="1"/>
  <c r="F115" i="2"/>
  <c r="C113" i="7" s="1"/>
  <c r="D115" i="2"/>
  <c r="B113" i="7" s="1"/>
  <c r="AE113" i="2"/>
  <c r="AC113" i="2"/>
  <c r="AA113" i="2"/>
  <c r="Y113" i="2"/>
  <c r="W113" i="2"/>
  <c r="U113" i="2"/>
  <c r="S113" i="2"/>
  <c r="Q113" i="2"/>
  <c r="O113" i="2"/>
  <c r="M113" i="2"/>
  <c r="K113" i="2"/>
  <c r="I113" i="2"/>
  <c r="G113" i="2"/>
  <c r="E113" i="2"/>
  <c r="AE112" i="2"/>
  <c r="AC112" i="2"/>
  <c r="AA112" i="2"/>
  <c r="Y112" i="2"/>
  <c r="W112" i="2"/>
  <c r="U112" i="2"/>
  <c r="S112" i="2"/>
  <c r="Q112" i="2"/>
  <c r="O112" i="2"/>
  <c r="M112" i="2"/>
  <c r="K112" i="2"/>
  <c r="I112" i="2"/>
  <c r="G112" i="2"/>
  <c r="E112" i="2"/>
  <c r="AE111" i="2"/>
  <c r="AC111" i="2"/>
  <c r="AA111" i="2"/>
  <c r="Y111" i="2"/>
  <c r="W111" i="2"/>
  <c r="U111" i="2"/>
  <c r="S111" i="2"/>
  <c r="Q111" i="2"/>
  <c r="O111" i="2"/>
  <c r="M111" i="2"/>
  <c r="K111" i="2"/>
  <c r="I111" i="2"/>
  <c r="G111" i="2"/>
  <c r="E111" i="2"/>
  <c r="AE110" i="2"/>
  <c r="AC110" i="2"/>
  <c r="AA110" i="2"/>
  <c r="Y110" i="2"/>
  <c r="W110" i="2"/>
  <c r="U110" i="2"/>
  <c r="S110" i="2"/>
  <c r="Q110" i="2"/>
  <c r="O110" i="2"/>
  <c r="M110" i="2"/>
  <c r="K110" i="2"/>
  <c r="I110" i="2"/>
  <c r="G110" i="2"/>
  <c r="E110" i="2"/>
  <c r="AE109" i="2"/>
  <c r="AC109" i="2"/>
  <c r="AA109" i="2"/>
  <c r="Y109" i="2"/>
  <c r="W109" i="2"/>
  <c r="U109" i="2"/>
  <c r="S109" i="2"/>
  <c r="Q109" i="2"/>
  <c r="O109" i="2"/>
  <c r="M109" i="2"/>
  <c r="K109" i="2"/>
  <c r="I109" i="2"/>
  <c r="G109" i="2"/>
  <c r="E109" i="2"/>
  <c r="AE107" i="2"/>
  <c r="AC107" i="2"/>
  <c r="AA107" i="2"/>
  <c r="Y107" i="2"/>
  <c r="W107" i="2"/>
  <c r="U107" i="2"/>
  <c r="S107" i="2"/>
  <c r="Q107" i="2"/>
  <c r="O107" i="2"/>
  <c r="M107" i="2"/>
  <c r="K107" i="2"/>
  <c r="I107" i="2"/>
  <c r="G107" i="2"/>
  <c r="E107" i="2"/>
  <c r="AE106" i="2"/>
  <c r="AC106" i="2"/>
  <c r="AA106" i="2"/>
  <c r="Y106" i="2"/>
  <c r="W106" i="2"/>
  <c r="U106" i="2"/>
  <c r="S106" i="2"/>
  <c r="Q106" i="2"/>
  <c r="O106" i="2"/>
  <c r="M106" i="2"/>
  <c r="K106" i="2"/>
  <c r="I106" i="2"/>
  <c r="G106" i="2"/>
  <c r="E106" i="2"/>
  <c r="AE105" i="2"/>
  <c r="AC105" i="2"/>
  <c r="AA105" i="2"/>
  <c r="Y105" i="2"/>
  <c r="W105" i="2"/>
  <c r="U105" i="2"/>
  <c r="S105" i="2"/>
  <c r="Q105" i="2"/>
  <c r="O105" i="2"/>
  <c r="M105" i="2"/>
  <c r="K105" i="2"/>
  <c r="I105" i="2"/>
  <c r="G105" i="2"/>
  <c r="E105" i="2"/>
  <c r="AE104" i="2"/>
  <c r="AC104" i="2"/>
  <c r="AA104" i="2"/>
  <c r="Y104" i="2"/>
  <c r="W104" i="2"/>
  <c r="U104" i="2"/>
  <c r="S104" i="2"/>
  <c r="Q104" i="2"/>
  <c r="O104" i="2"/>
  <c r="M104" i="2"/>
  <c r="K104" i="2"/>
  <c r="I104" i="2"/>
  <c r="G104" i="2"/>
  <c r="E104" i="2"/>
  <c r="AE103" i="2"/>
  <c r="AC103" i="2"/>
  <c r="AA103" i="2"/>
  <c r="Y103" i="2"/>
  <c r="W103" i="2"/>
  <c r="U103" i="2"/>
  <c r="S103" i="2"/>
  <c r="Q103" i="2"/>
  <c r="O103" i="2"/>
  <c r="M103" i="2"/>
  <c r="K103" i="2"/>
  <c r="I103" i="2"/>
  <c r="G103" i="2"/>
  <c r="E103" i="2"/>
  <c r="AF101" i="2"/>
  <c r="P99" i="7" s="1"/>
  <c r="AE101" i="2"/>
  <c r="AD101" i="2"/>
  <c r="O99" i="7" s="1"/>
  <c r="AC101" i="2"/>
  <c r="AB101" i="2"/>
  <c r="N99" i="7" s="1"/>
  <c r="Z101" i="2"/>
  <c r="M99" i="7" s="1"/>
  <c r="X101" i="2"/>
  <c r="L99" i="7" s="1"/>
  <c r="W101" i="2"/>
  <c r="V101" i="2"/>
  <c r="K99" i="7" s="1"/>
  <c r="U101" i="2"/>
  <c r="T101" i="2"/>
  <c r="J99" i="7" s="1"/>
  <c r="R101" i="2"/>
  <c r="I99" i="7" s="1"/>
  <c r="P101" i="2"/>
  <c r="H99" i="7" s="1"/>
  <c r="O101" i="2"/>
  <c r="N101" i="2"/>
  <c r="G99" i="7" s="1"/>
  <c r="M101" i="2"/>
  <c r="L101" i="2"/>
  <c r="F99" i="7" s="1"/>
  <c r="J101" i="2"/>
  <c r="E99" i="7" s="1"/>
  <c r="H101" i="2"/>
  <c r="D99" i="7" s="1"/>
  <c r="F101" i="2"/>
  <c r="C99" i="7" s="1"/>
  <c r="E101" i="2"/>
  <c r="D101" i="2"/>
  <c r="B99" i="7" s="1"/>
  <c r="AE100" i="2"/>
  <c r="AC100" i="2"/>
  <c r="AA100" i="2"/>
  <c r="Y100" i="2"/>
  <c r="W100" i="2"/>
  <c r="U100" i="2"/>
  <c r="S100" i="2"/>
  <c r="Q100" i="2"/>
  <c r="O100" i="2"/>
  <c r="M100" i="2"/>
  <c r="K100" i="2"/>
  <c r="I100" i="2"/>
  <c r="G100" i="2"/>
  <c r="E100" i="2"/>
  <c r="AE99" i="2"/>
  <c r="AC99" i="2"/>
  <c r="AA99" i="2"/>
  <c r="Y99" i="2"/>
  <c r="W99" i="2"/>
  <c r="U99" i="2"/>
  <c r="S99" i="2"/>
  <c r="Q99" i="2"/>
  <c r="O99" i="2"/>
  <c r="M99" i="2"/>
  <c r="K99" i="2"/>
  <c r="I99" i="2"/>
  <c r="G99" i="2"/>
  <c r="E99" i="2"/>
  <c r="AE98" i="2"/>
  <c r="AC98" i="2"/>
  <c r="AA98" i="2"/>
  <c r="Y98" i="2"/>
  <c r="W98" i="2"/>
  <c r="U98" i="2"/>
  <c r="S98" i="2"/>
  <c r="Q98" i="2"/>
  <c r="O98" i="2"/>
  <c r="M98" i="2"/>
  <c r="K98" i="2"/>
  <c r="I98" i="2"/>
  <c r="G98" i="2"/>
  <c r="E98" i="2"/>
  <c r="AE97" i="2"/>
  <c r="AC97" i="2"/>
  <c r="AA97" i="2"/>
  <c r="Y97" i="2"/>
  <c r="W97" i="2"/>
  <c r="U97" i="2"/>
  <c r="S97" i="2"/>
  <c r="Q97" i="2"/>
  <c r="O97" i="2"/>
  <c r="M97" i="2"/>
  <c r="K97" i="2"/>
  <c r="I97" i="2"/>
  <c r="G97" i="2"/>
  <c r="E97" i="2"/>
  <c r="AE96" i="2"/>
  <c r="AC96" i="2"/>
  <c r="AA96" i="2"/>
  <c r="Y96" i="2"/>
  <c r="W96" i="2"/>
  <c r="U96" i="2"/>
  <c r="S96" i="2"/>
  <c r="Q96" i="2"/>
  <c r="O96" i="2"/>
  <c r="M96" i="2"/>
  <c r="K96" i="2"/>
  <c r="I96" i="2"/>
  <c r="G96" i="2"/>
  <c r="E96" i="2"/>
  <c r="AE95" i="2"/>
  <c r="AC95" i="2"/>
  <c r="AA95" i="2"/>
  <c r="Y95" i="2"/>
  <c r="W95" i="2"/>
  <c r="U95" i="2"/>
  <c r="S95" i="2"/>
  <c r="Q95" i="2"/>
  <c r="O95" i="2"/>
  <c r="M95" i="2"/>
  <c r="K95" i="2"/>
  <c r="I95" i="2"/>
  <c r="G95" i="2"/>
  <c r="E95" i="2"/>
  <c r="AE94" i="2"/>
  <c r="AC94" i="2"/>
  <c r="AA94" i="2"/>
  <c r="Y94" i="2"/>
  <c r="W94" i="2"/>
  <c r="U94" i="2"/>
  <c r="S94" i="2"/>
  <c r="Q94" i="2"/>
  <c r="O94" i="2"/>
  <c r="M94" i="2"/>
  <c r="K94" i="2"/>
  <c r="I94" i="2"/>
  <c r="G94" i="2"/>
  <c r="E94" i="2"/>
  <c r="AE93" i="2"/>
  <c r="AC93" i="2"/>
  <c r="AA93" i="2"/>
  <c r="Y93" i="2"/>
  <c r="W93" i="2"/>
  <c r="U93" i="2"/>
  <c r="S93" i="2"/>
  <c r="Q93" i="2"/>
  <c r="O93" i="2"/>
  <c r="M93" i="2"/>
  <c r="K93" i="2"/>
  <c r="I93" i="2"/>
  <c r="G93" i="2"/>
  <c r="E93" i="2"/>
  <c r="AE92" i="2"/>
  <c r="AC92" i="2"/>
  <c r="AA92" i="2"/>
  <c r="Y92" i="2"/>
  <c r="W92" i="2"/>
  <c r="U92" i="2"/>
  <c r="S92" i="2"/>
  <c r="Q92" i="2"/>
  <c r="O92" i="2"/>
  <c r="M92" i="2"/>
  <c r="K92" i="2"/>
  <c r="I92" i="2"/>
  <c r="G92" i="2"/>
  <c r="E92" i="2"/>
  <c r="AF91" i="2"/>
  <c r="P89" i="7" s="1"/>
  <c r="AE91" i="2"/>
  <c r="AD91" i="2"/>
  <c r="O89" i="7" s="1"/>
  <c r="AB91" i="2"/>
  <c r="N89" i="7" s="1"/>
  <c r="Z91" i="2"/>
  <c r="M89" i="7" s="1"/>
  <c r="X91" i="2"/>
  <c r="L89" i="7" s="1"/>
  <c r="W91" i="2"/>
  <c r="V91" i="2"/>
  <c r="K89" i="7" s="1"/>
  <c r="T91" i="2"/>
  <c r="J89" i="7" s="1"/>
  <c r="R91" i="2"/>
  <c r="I89" i="7" s="1"/>
  <c r="P91" i="2"/>
  <c r="H89" i="7" s="1"/>
  <c r="O91" i="2"/>
  <c r="N91" i="2"/>
  <c r="G89" i="7" s="1"/>
  <c r="L91" i="2"/>
  <c r="F89" i="7" s="1"/>
  <c r="J91" i="2"/>
  <c r="E89" i="7" s="1"/>
  <c r="H91" i="2"/>
  <c r="D89" i="7" s="1"/>
  <c r="G91" i="2"/>
  <c r="F91" i="2"/>
  <c r="C89" i="7" s="1"/>
  <c r="D91" i="2"/>
  <c r="B89" i="7" s="1"/>
  <c r="AE90" i="2"/>
  <c r="AC90" i="2"/>
  <c r="AA90" i="2"/>
  <c r="Y90" i="2"/>
  <c r="W90" i="2"/>
  <c r="U90" i="2"/>
  <c r="S90" i="2"/>
  <c r="Q90" i="2"/>
  <c r="O90" i="2"/>
  <c r="M90" i="2"/>
  <c r="K90" i="2"/>
  <c r="I90" i="2"/>
  <c r="G90" i="2"/>
  <c r="E90" i="2"/>
  <c r="AE89" i="2"/>
  <c r="AC89" i="2"/>
  <c r="AA89" i="2"/>
  <c r="Y89" i="2"/>
  <c r="W89" i="2"/>
  <c r="U89" i="2"/>
  <c r="S89" i="2"/>
  <c r="Q89" i="2"/>
  <c r="O89" i="2"/>
  <c r="M89" i="2"/>
  <c r="K89" i="2"/>
  <c r="I89" i="2"/>
  <c r="G89" i="2"/>
  <c r="E89" i="2"/>
  <c r="AE88" i="2"/>
  <c r="AC88" i="2"/>
  <c r="AA88" i="2"/>
  <c r="Y88" i="2"/>
  <c r="W88" i="2"/>
  <c r="U88" i="2"/>
  <c r="S88" i="2"/>
  <c r="Q88" i="2"/>
  <c r="O88" i="2"/>
  <c r="M88" i="2"/>
  <c r="K88" i="2"/>
  <c r="I88" i="2"/>
  <c r="G88" i="2"/>
  <c r="E88" i="2"/>
  <c r="AE87" i="2"/>
  <c r="AC87" i="2"/>
  <c r="AA87" i="2"/>
  <c r="Y87" i="2"/>
  <c r="W87" i="2"/>
  <c r="U87" i="2"/>
  <c r="S87" i="2"/>
  <c r="Q87" i="2"/>
  <c r="O87" i="2"/>
  <c r="M87" i="2"/>
  <c r="K87" i="2"/>
  <c r="I87" i="2"/>
  <c r="G87" i="2"/>
  <c r="E87" i="2"/>
  <c r="AE86" i="2"/>
  <c r="AC86" i="2"/>
  <c r="AA86" i="2"/>
  <c r="Y86" i="2"/>
  <c r="W86" i="2"/>
  <c r="U86" i="2"/>
  <c r="S86" i="2"/>
  <c r="Q86" i="2"/>
  <c r="O86" i="2"/>
  <c r="M86" i="2"/>
  <c r="K86" i="2"/>
  <c r="I86" i="2"/>
  <c r="G86" i="2"/>
  <c r="E86" i="2"/>
  <c r="AE85" i="2"/>
  <c r="AC85" i="2"/>
  <c r="AA85" i="2"/>
  <c r="Y85" i="2"/>
  <c r="W85" i="2"/>
  <c r="U85" i="2"/>
  <c r="S85" i="2"/>
  <c r="Q85" i="2"/>
  <c r="O85" i="2"/>
  <c r="M85" i="2"/>
  <c r="K85" i="2"/>
  <c r="I85" i="2"/>
  <c r="G85" i="2"/>
  <c r="E85" i="2"/>
  <c r="AE84" i="2"/>
  <c r="AC84" i="2"/>
  <c r="AA84" i="2"/>
  <c r="Y84" i="2"/>
  <c r="W84" i="2"/>
  <c r="U84" i="2"/>
  <c r="S84" i="2"/>
  <c r="Q84" i="2"/>
  <c r="O84" i="2"/>
  <c r="M84" i="2"/>
  <c r="K84" i="2"/>
  <c r="I84" i="2"/>
  <c r="G84" i="2"/>
  <c r="E84" i="2"/>
  <c r="AE83" i="2"/>
  <c r="AC83" i="2"/>
  <c r="AA83" i="2"/>
  <c r="Y83" i="2"/>
  <c r="W83" i="2"/>
  <c r="U83" i="2"/>
  <c r="S83" i="2"/>
  <c r="Q83" i="2"/>
  <c r="O83" i="2"/>
  <c r="M83" i="2"/>
  <c r="K83" i="2"/>
  <c r="I83" i="2"/>
  <c r="G83" i="2"/>
  <c r="E83" i="2"/>
  <c r="AE82" i="2"/>
  <c r="AC82" i="2"/>
  <c r="AA82" i="2"/>
  <c r="Y82" i="2"/>
  <c r="W82" i="2"/>
  <c r="U82" i="2"/>
  <c r="S82" i="2"/>
  <c r="Q82" i="2"/>
  <c r="O82" i="2"/>
  <c r="M82" i="2"/>
  <c r="K82" i="2"/>
  <c r="I82" i="2"/>
  <c r="G82" i="2"/>
  <c r="E82" i="2"/>
  <c r="AF81" i="2"/>
  <c r="P79" i="7" s="1"/>
  <c r="AE81" i="2"/>
  <c r="AD81" i="2"/>
  <c r="O79" i="7" s="1"/>
  <c r="AB81" i="2"/>
  <c r="N79" i="7" s="1"/>
  <c r="Z81" i="2"/>
  <c r="M79" i="7" s="1"/>
  <c r="X81" i="2"/>
  <c r="L79" i="7" s="1"/>
  <c r="W81" i="2"/>
  <c r="V81" i="2"/>
  <c r="K79" i="7" s="1"/>
  <c r="T81" i="2"/>
  <c r="J79" i="7" s="1"/>
  <c r="R81" i="2"/>
  <c r="I79" i="7" s="1"/>
  <c r="P81" i="2"/>
  <c r="H79" i="7" s="1"/>
  <c r="O81" i="2"/>
  <c r="N81" i="2"/>
  <c r="G79" i="7" s="1"/>
  <c r="L81" i="2"/>
  <c r="F79" i="7" s="1"/>
  <c r="J81" i="2"/>
  <c r="E79" i="7" s="1"/>
  <c r="H81" i="2"/>
  <c r="D79" i="7" s="1"/>
  <c r="G81" i="2"/>
  <c r="F81" i="2"/>
  <c r="C79" i="7" s="1"/>
  <c r="D81" i="2"/>
  <c r="B79" i="7" s="1"/>
  <c r="AE80" i="2"/>
  <c r="AC80" i="2"/>
  <c r="AA80" i="2"/>
  <c r="Y80" i="2"/>
  <c r="W80" i="2"/>
  <c r="U80" i="2"/>
  <c r="S80" i="2"/>
  <c r="Q80" i="2"/>
  <c r="O80" i="2"/>
  <c r="M80" i="2"/>
  <c r="K80" i="2"/>
  <c r="I80" i="2"/>
  <c r="G80" i="2"/>
  <c r="E80" i="2"/>
  <c r="AE79" i="2"/>
  <c r="AC79" i="2"/>
  <c r="AA79" i="2"/>
  <c r="Y79" i="2"/>
  <c r="W79" i="2"/>
  <c r="U79" i="2"/>
  <c r="S79" i="2"/>
  <c r="Q79" i="2"/>
  <c r="O79" i="2"/>
  <c r="M79" i="2"/>
  <c r="K79" i="2"/>
  <c r="I79" i="2"/>
  <c r="G79" i="2"/>
  <c r="E79" i="2"/>
  <c r="AE78" i="2"/>
  <c r="AC78" i="2"/>
  <c r="AA78" i="2"/>
  <c r="Y78" i="2"/>
  <c r="W78" i="2"/>
  <c r="U78" i="2"/>
  <c r="S78" i="2"/>
  <c r="Q78" i="2"/>
  <c r="O78" i="2"/>
  <c r="M78" i="2"/>
  <c r="K78" i="2"/>
  <c r="I78" i="2"/>
  <c r="G78" i="2"/>
  <c r="E78" i="2"/>
  <c r="AE77" i="2"/>
  <c r="AC77" i="2"/>
  <c r="AA77" i="2"/>
  <c r="Y77" i="2"/>
  <c r="W77" i="2"/>
  <c r="U77" i="2"/>
  <c r="S77" i="2"/>
  <c r="Q77" i="2"/>
  <c r="O77" i="2"/>
  <c r="M77" i="2"/>
  <c r="K77" i="2"/>
  <c r="I77" i="2"/>
  <c r="G77" i="2"/>
  <c r="E77" i="2"/>
  <c r="AE76" i="2"/>
  <c r="AC76" i="2"/>
  <c r="AA76" i="2"/>
  <c r="Y76" i="2"/>
  <c r="W76" i="2"/>
  <c r="U76" i="2"/>
  <c r="S76" i="2"/>
  <c r="Q76" i="2"/>
  <c r="O76" i="2"/>
  <c r="M76" i="2"/>
  <c r="K76" i="2"/>
  <c r="I76" i="2"/>
  <c r="G76" i="2"/>
  <c r="E76" i="2"/>
  <c r="AE75" i="2"/>
  <c r="AC75" i="2"/>
  <c r="AA75" i="2"/>
  <c r="Y75" i="2"/>
  <c r="W75" i="2"/>
  <c r="U75" i="2"/>
  <c r="S75" i="2"/>
  <c r="Q75" i="2"/>
  <c r="O75" i="2"/>
  <c r="M75" i="2"/>
  <c r="K75" i="2"/>
  <c r="I75" i="2"/>
  <c r="G75" i="2"/>
  <c r="E75" i="2"/>
  <c r="AE74" i="2"/>
  <c r="AC74" i="2"/>
  <c r="AA74" i="2"/>
  <c r="Y74" i="2"/>
  <c r="W74" i="2"/>
  <c r="U74" i="2"/>
  <c r="S74" i="2"/>
  <c r="Q74" i="2"/>
  <c r="O74" i="2"/>
  <c r="M74" i="2"/>
  <c r="K74" i="2"/>
  <c r="I74" i="2"/>
  <c r="G74" i="2"/>
  <c r="E74" i="2"/>
  <c r="AE73" i="2"/>
  <c r="AC73" i="2"/>
  <c r="AA73" i="2"/>
  <c r="Y73" i="2"/>
  <c r="W73" i="2"/>
  <c r="U73" i="2"/>
  <c r="S73" i="2"/>
  <c r="Q73" i="2"/>
  <c r="O73" i="2"/>
  <c r="M73" i="2"/>
  <c r="K73" i="2"/>
  <c r="I73" i="2"/>
  <c r="G73" i="2"/>
  <c r="E73" i="2"/>
  <c r="AE72" i="2"/>
  <c r="AC72" i="2"/>
  <c r="AA72" i="2"/>
  <c r="Y72" i="2"/>
  <c r="W72" i="2"/>
  <c r="U72" i="2"/>
  <c r="S72" i="2"/>
  <c r="Q72" i="2"/>
  <c r="O72" i="2"/>
  <c r="M72" i="2"/>
  <c r="K72" i="2"/>
  <c r="I72" i="2"/>
  <c r="G72" i="2"/>
  <c r="E72" i="2"/>
  <c r="AF71" i="2"/>
  <c r="P69" i="7" s="1"/>
  <c r="AB71" i="2"/>
  <c r="N69" i="7" s="1"/>
  <c r="X71" i="2"/>
  <c r="L69" i="7" s="1"/>
  <c r="T71" i="2"/>
  <c r="J69" i="7" s="1"/>
  <c r="P71" i="2"/>
  <c r="H69" i="7" s="1"/>
  <c r="L71" i="2"/>
  <c r="F69" i="7" s="1"/>
  <c r="H71" i="2"/>
  <c r="D69" i="7" s="1"/>
  <c r="D71" i="2"/>
  <c r="B69" i="7" s="1"/>
  <c r="AF70" i="2"/>
  <c r="P68" i="7" s="1"/>
  <c r="AD70" i="2"/>
  <c r="O68" i="7" s="1"/>
  <c r="AB70" i="2"/>
  <c r="N68" i="7" s="1"/>
  <c r="Z70" i="2"/>
  <c r="M68" i="7" s="1"/>
  <c r="X70" i="2"/>
  <c r="L68" i="7" s="1"/>
  <c r="V70" i="2"/>
  <c r="K68" i="7" s="1"/>
  <c r="T70" i="2"/>
  <c r="J68" i="7" s="1"/>
  <c r="R70" i="2"/>
  <c r="I68" i="7" s="1"/>
  <c r="P70" i="2"/>
  <c r="H68" i="7" s="1"/>
  <c r="N70" i="2"/>
  <c r="G68" i="7" s="1"/>
  <c r="L70" i="2"/>
  <c r="F68" i="7" s="1"/>
  <c r="J70" i="2"/>
  <c r="E68" i="7" s="1"/>
  <c r="H70" i="2"/>
  <c r="D68" i="7" s="1"/>
  <c r="F70" i="2"/>
  <c r="C68" i="7" s="1"/>
  <c r="D70" i="2"/>
  <c r="B68" i="7" s="1"/>
  <c r="AE69" i="2"/>
  <c r="AC69" i="2"/>
  <c r="AA69" i="2"/>
  <c r="Y69" i="2"/>
  <c r="W69" i="2"/>
  <c r="U69" i="2"/>
  <c r="S69" i="2"/>
  <c r="Q69" i="2"/>
  <c r="O69" i="2"/>
  <c r="M69" i="2"/>
  <c r="K69" i="2"/>
  <c r="I69" i="2"/>
  <c r="G69" i="2"/>
  <c r="E69" i="2"/>
  <c r="AE68" i="2"/>
  <c r="AC68" i="2"/>
  <c r="AA68" i="2"/>
  <c r="Y68" i="2"/>
  <c r="W68" i="2"/>
  <c r="U68" i="2"/>
  <c r="S68" i="2"/>
  <c r="Q68" i="2"/>
  <c r="O68" i="2"/>
  <c r="M68" i="2"/>
  <c r="K68" i="2"/>
  <c r="I68" i="2"/>
  <c r="G68" i="2"/>
  <c r="E68" i="2"/>
  <c r="AE67" i="2"/>
  <c r="AC67" i="2"/>
  <c r="AA67" i="2"/>
  <c r="Y67" i="2"/>
  <c r="W67" i="2"/>
  <c r="U67" i="2"/>
  <c r="S67" i="2"/>
  <c r="Q67" i="2"/>
  <c r="O67" i="2"/>
  <c r="M67" i="2"/>
  <c r="K67" i="2"/>
  <c r="I67" i="2"/>
  <c r="G67" i="2"/>
  <c r="E67" i="2"/>
  <c r="AF66" i="2"/>
  <c r="P64" i="7" s="1"/>
  <c r="AD66" i="2"/>
  <c r="O64" i="7" s="1"/>
  <c r="AC66" i="2"/>
  <c r="AB66" i="2"/>
  <c r="N64" i="7" s="1"/>
  <c r="Z66" i="2"/>
  <c r="M64" i="7" s="1"/>
  <c r="Y66" i="2"/>
  <c r="X66" i="2"/>
  <c r="L64" i="7" s="1"/>
  <c r="V66" i="2"/>
  <c r="K64" i="7" s="1"/>
  <c r="U66" i="2"/>
  <c r="T66" i="2"/>
  <c r="J64" i="7" s="1"/>
  <c r="R66" i="2"/>
  <c r="I64" i="7" s="1"/>
  <c r="Q66" i="2"/>
  <c r="P66" i="2"/>
  <c r="H64" i="7" s="1"/>
  <c r="N66" i="2"/>
  <c r="G64" i="7" s="1"/>
  <c r="M66" i="2"/>
  <c r="L66" i="2"/>
  <c r="F64" i="7" s="1"/>
  <c r="J66" i="2"/>
  <c r="E64" i="7" s="1"/>
  <c r="I66" i="2"/>
  <c r="H66" i="2"/>
  <c r="D64" i="7" s="1"/>
  <c r="F66" i="2"/>
  <c r="C64" i="7" s="1"/>
  <c r="E66" i="2"/>
  <c r="D66" i="2"/>
  <c r="B64" i="7" s="1"/>
  <c r="AE65" i="2"/>
  <c r="AC65" i="2"/>
  <c r="AA65" i="2"/>
  <c r="Y65" i="2"/>
  <c r="W65" i="2"/>
  <c r="U65" i="2"/>
  <c r="S65" i="2"/>
  <c r="Q65" i="2"/>
  <c r="O65" i="2"/>
  <c r="M65" i="2"/>
  <c r="K65" i="2"/>
  <c r="I65" i="2"/>
  <c r="G65" i="2"/>
  <c r="E65" i="2"/>
  <c r="AE64" i="2"/>
  <c r="AC64" i="2"/>
  <c r="AA64" i="2"/>
  <c r="Y64" i="2"/>
  <c r="W64" i="2"/>
  <c r="U64" i="2"/>
  <c r="S64" i="2"/>
  <c r="Q64" i="2"/>
  <c r="O64" i="2"/>
  <c r="M64" i="2"/>
  <c r="K64" i="2"/>
  <c r="I64" i="2"/>
  <c r="G64" i="2"/>
  <c r="E64" i="2"/>
  <c r="AE63" i="2"/>
  <c r="AC63" i="2"/>
  <c r="AA63" i="2"/>
  <c r="Y63" i="2"/>
  <c r="W63" i="2"/>
  <c r="U63" i="2"/>
  <c r="S63" i="2"/>
  <c r="Q63" i="2"/>
  <c r="O63" i="2"/>
  <c r="M63" i="2"/>
  <c r="K63" i="2"/>
  <c r="I63" i="2"/>
  <c r="G63" i="2"/>
  <c r="E63" i="2"/>
  <c r="AF61" i="2"/>
  <c r="P59" i="7" s="1"/>
  <c r="AB61" i="2"/>
  <c r="N59" i="7" s="1"/>
  <c r="X61" i="2"/>
  <c r="L59" i="7" s="1"/>
  <c r="T61" i="2"/>
  <c r="J59" i="7" s="1"/>
  <c r="P61" i="2"/>
  <c r="H59" i="7" s="1"/>
  <c r="L61" i="2"/>
  <c r="F59" i="7" s="1"/>
  <c r="H61" i="2"/>
  <c r="D59" i="7" s="1"/>
  <c r="D61" i="2"/>
  <c r="B59" i="7" s="1"/>
  <c r="AF60" i="2"/>
  <c r="P58" i="7" s="1"/>
  <c r="AD60" i="2"/>
  <c r="O58" i="7" s="1"/>
  <c r="AB60" i="2"/>
  <c r="N58" i="7" s="1"/>
  <c r="Z60" i="2"/>
  <c r="M58" i="7" s="1"/>
  <c r="X60" i="2"/>
  <c r="L58" i="7" s="1"/>
  <c r="V60" i="2"/>
  <c r="K58" i="7" s="1"/>
  <c r="T60" i="2"/>
  <c r="J58" i="7" s="1"/>
  <c r="R60" i="2"/>
  <c r="I58" i="7" s="1"/>
  <c r="P60" i="2"/>
  <c r="H58" i="7" s="1"/>
  <c r="N60" i="2"/>
  <c r="G58" i="7" s="1"/>
  <c r="L60" i="2"/>
  <c r="F58" i="7" s="1"/>
  <c r="J60" i="2"/>
  <c r="E58" i="7" s="1"/>
  <c r="H60" i="2"/>
  <c r="D58" i="7" s="1"/>
  <c r="F60" i="2"/>
  <c r="C58" i="7" s="1"/>
  <c r="D60" i="2"/>
  <c r="B58" i="7" s="1"/>
  <c r="AE59" i="2"/>
  <c r="AC59" i="2"/>
  <c r="AA59" i="2"/>
  <c r="Y59" i="2"/>
  <c r="W59" i="2"/>
  <c r="U59" i="2"/>
  <c r="S59" i="2"/>
  <c r="Q59" i="2"/>
  <c r="O59" i="2"/>
  <c r="M59" i="2"/>
  <c r="K59" i="2"/>
  <c r="I59" i="2"/>
  <c r="G59" i="2"/>
  <c r="E59" i="2"/>
  <c r="AE58" i="2"/>
  <c r="AC58" i="2"/>
  <c r="AA58" i="2"/>
  <c r="Y58" i="2"/>
  <c r="W58" i="2"/>
  <c r="U58" i="2"/>
  <c r="S58" i="2"/>
  <c r="Q58" i="2"/>
  <c r="O58" i="2"/>
  <c r="M58" i="2"/>
  <c r="K58" i="2"/>
  <c r="I58" i="2"/>
  <c r="G58" i="2"/>
  <c r="E58" i="2"/>
  <c r="AE57" i="2"/>
  <c r="AC57" i="2"/>
  <c r="AA57" i="2"/>
  <c r="Y57" i="2"/>
  <c r="W57" i="2"/>
  <c r="U57" i="2"/>
  <c r="S57" i="2"/>
  <c r="Q57" i="2"/>
  <c r="O57" i="2"/>
  <c r="M57" i="2"/>
  <c r="K57" i="2"/>
  <c r="I57" i="2"/>
  <c r="G57" i="2"/>
  <c r="E57" i="2"/>
  <c r="AF56" i="2"/>
  <c r="P54" i="7" s="1"/>
  <c r="AD56" i="2"/>
  <c r="O54" i="7" s="1"/>
  <c r="AC56" i="2"/>
  <c r="AB56" i="2"/>
  <c r="N54" i="7" s="1"/>
  <c r="Z56" i="2"/>
  <c r="M54" i="7" s="1"/>
  <c r="Y56" i="2"/>
  <c r="X56" i="2"/>
  <c r="L54" i="7" s="1"/>
  <c r="V56" i="2"/>
  <c r="K54" i="7" s="1"/>
  <c r="U56" i="2"/>
  <c r="T56" i="2"/>
  <c r="J54" i="7" s="1"/>
  <c r="R56" i="2"/>
  <c r="I54" i="7" s="1"/>
  <c r="Q56" i="2"/>
  <c r="P56" i="2"/>
  <c r="H54" i="7" s="1"/>
  <c r="N56" i="2"/>
  <c r="G54" i="7" s="1"/>
  <c r="M56" i="2"/>
  <c r="L56" i="2"/>
  <c r="F54" i="7" s="1"/>
  <c r="J56" i="2"/>
  <c r="E54" i="7" s="1"/>
  <c r="I56" i="2"/>
  <c r="H56" i="2"/>
  <c r="D54" i="7" s="1"/>
  <c r="F56" i="2"/>
  <c r="C54" i="7" s="1"/>
  <c r="E56" i="2"/>
  <c r="D56" i="2"/>
  <c r="B54" i="7" s="1"/>
  <c r="AE55" i="2"/>
  <c r="AC55" i="2"/>
  <c r="AA55" i="2"/>
  <c r="Y55" i="2"/>
  <c r="W55" i="2"/>
  <c r="U55" i="2"/>
  <c r="S55" i="2"/>
  <c r="Q55" i="2"/>
  <c r="O55" i="2"/>
  <c r="M55" i="2"/>
  <c r="K55" i="2"/>
  <c r="I55" i="2"/>
  <c r="G55" i="2"/>
  <c r="E55" i="2"/>
  <c r="AE54" i="2"/>
  <c r="AC54" i="2"/>
  <c r="AA54" i="2"/>
  <c r="Y54" i="2"/>
  <c r="W54" i="2"/>
  <c r="U54" i="2"/>
  <c r="S54" i="2"/>
  <c r="Q54" i="2"/>
  <c r="O54" i="2"/>
  <c r="M54" i="2"/>
  <c r="K54" i="2"/>
  <c r="I54" i="2"/>
  <c r="G54" i="2"/>
  <c r="E54" i="2"/>
  <c r="AE53" i="2"/>
  <c r="AC53" i="2"/>
  <c r="AA53" i="2"/>
  <c r="Y53" i="2"/>
  <c r="W53" i="2"/>
  <c r="U53" i="2"/>
  <c r="S53" i="2"/>
  <c r="Q53" i="2"/>
  <c r="O53" i="2"/>
  <c r="M53" i="2"/>
  <c r="K53" i="2"/>
  <c r="I53" i="2"/>
  <c r="G53" i="2"/>
  <c r="E53" i="2"/>
  <c r="AF52" i="2"/>
  <c r="P50" i="7" s="1"/>
  <c r="AD52" i="2"/>
  <c r="O50" i="7" s="1"/>
  <c r="AB52" i="2"/>
  <c r="N50" i="7" s="1"/>
  <c r="Z52" i="2"/>
  <c r="M50" i="7" s="1"/>
  <c r="X52" i="2"/>
  <c r="L50" i="7" s="1"/>
  <c r="V52" i="2"/>
  <c r="K50" i="7" s="1"/>
  <c r="T52" i="2"/>
  <c r="J50" i="7" s="1"/>
  <c r="R52" i="2"/>
  <c r="I50" i="7" s="1"/>
  <c r="P52" i="2"/>
  <c r="H50" i="7" s="1"/>
  <c r="N52" i="2"/>
  <c r="G50" i="7" s="1"/>
  <c r="L52" i="2"/>
  <c r="F50" i="7" s="1"/>
  <c r="J52" i="2"/>
  <c r="E50" i="7" s="1"/>
  <c r="H52" i="2"/>
  <c r="D50" i="7" s="1"/>
  <c r="F52" i="2"/>
  <c r="C50" i="7" s="1"/>
  <c r="D52" i="2"/>
  <c r="B50" i="7" s="1"/>
  <c r="AE51" i="2"/>
  <c r="AC51" i="2"/>
  <c r="AA51" i="2"/>
  <c r="Y51" i="2"/>
  <c r="W51" i="2"/>
  <c r="U51" i="2"/>
  <c r="S51" i="2"/>
  <c r="Q51" i="2"/>
  <c r="O51" i="2"/>
  <c r="M51" i="2"/>
  <c r="K51" i="2"/>
  <c r="I51" i="2"/>
  <c r="G51" i="2"/>
  <c r="E51" i="2"/>
  <c r="AE50" i="2"/>
  <c r="AC50" i="2"/>
  <c r="AA50" i="2"/>
  <c r="Y50" i="2"/>
  <c r="W50" i="2"/>
  <c r="U50" i="2"/>
  <c r="S50" i="2"/>
  <c r="Q50" i="2"/>
  <c r="O50" i="2"/>
  <c r="M50" i="2"/>
  <c r="K50" i="2"/>
  <c r="I50" i="2"/>
  <c r="G50" i="2"/>
  <c r="E50" i="2"/>
  <c r="AE49" i="2"/>
  <c r="AC49" i="2"/>
  <c r="AA49" i="2"/>
  <c r="Y49" i="2"/>
  <c r="W49" i="2"/>
  <c r="U49" i="2"/>
  <c r="S49" i="2"/>
  <c r="Q49" i="2"/>
  <c r="O49" i="2"/>
  <c r="M49" i="2"/>
  <c r="K49" i="2"/>
  <c r="I49" i="2"/>
  <c r="G49" i="2"/>
  <c r="E49" i="2"/>
  <c r="AF48" i="2"/>
  <c r="P46" i="7" s="1"/>
  <c r="AE48" i="2"/>
  <c r="AD48" i="2"/>
  <c r="O46" i="7" s="1"/>
  <c r="AB48" i="2"/>
  <c r="N46" i="7" s="1"/>
  <c r="AA48" i="2"/>
  <c r="Z48" i="2"/>
  <c r="M46" i="7" s="1"/>
  <c r="X48" i="2"/>
  <c r="L46" i="7" s="1"/>
  <c r="W48" i="2"/>
  <c r="V48" i="2"/>
  <c r="K46" i="7" s="1"/>
  <c r="T48" i="2"/>
  <c r="J46" i="7" s="1"/>
  <c r="S48" i="2"/>
  <c r="R48" i="2"/>
  <c r="I46" i="7" s="1"/>
  <c r="P48" i="2"/>
  <c r="H46" i="7" s="1"/>
  <c r="O48" i="2"/>
  <c r="N48" i="2"/>
  <c r="G46" i="7" s="1"/>
  <c r="L48" i="2"/>
  <c r="F46" i="7" s="1"/>
  <c r="K48" i="2"/>
  <c r="J48" i="2"/>
  <c r="E46" i="7" s="1"/>
  <c r="H48" i="2"/>
  <c r="D46" i="7" s="1"/>
  <c r="G48" i="2"/>
  <c r="F48" i="2"/>
  <c r="C46" i="7" s="1"/>
  <c r="D48" i="2"/>
  <c r="B46" i="7" s="1"/>
  <c r="AE47" i="2"/>
  <c r="AC47" i="2"/>
  <c r="AA47" i="2"/>
  <c r="Y47" i="2"/>
  <c r="W47" i="2"/>
  <c r="U47" i="2"/>
  <c r="S47" i="2"/>
  <c r="Q47" i="2"/>
  <c r="O47" i="2"/>
  <c r="M47" i="2"/>
  <c r="K47" i="2"/>
  <c r="I47" i="2"/>
  <c r="G47" i="2"/>
  <c r="E47" i="2"/>
  <c r="AE46" i="2"/>
  <c r="AC46" i="2"/>
  <c r="AA46" i="2"/>
  <c r="Y46" i="2"/>
  <c r="W46" i="2"/>
  <c r="U46" i="2"/>
  <c r="S46" i="2"/>
  <c r="Q46" i="2"/>
  <c r="O46" i="2"/>
  <c r="M46" i="2"/>
  <c r="K46" i="2"/>
  <c r="I46" i="2"/>
  <c r="G46" i="2"/>
  <c r="E46" i="2"/>
  <c r="AE45" i="2"/>
  <c r="AC45" i="2"/>
  <c r="AA45" i="2"/>
  <c r="Y45" i="2"/>
  <c r="W45" i="2"/>
  <c r="U45" i="2"/>
  <c r="S45" i="2"/>
  <c r="Q45" i="2"/>
  <c r="O45" i="2"/>
  <c r="M45" i="2"/>
  <c r="K45" i="2"/>
  <c r="I45" i="2"/>
  <c r="G45" i="2"/>
  <c r="E45" i="2"/>
  <c r="AE44" i="2"/>
  <c r="AC44" i="2"/>
  <c r="AA44" i="2"/>
  <c r="Y44" i="2"/>
  <c r="W44" i="2"/>
  <c r="U44" i="2"/>
  <c r="S44" i="2"/>
  <c r="Q44" i="2"/>
  <c r="O44" i="2"/>
  <c r="M44" i="2"/>
  <c r="K44" i="2"/>
  <c r="I44" i="2"/>
  <c r="G44" i="2"/>
  <c r="E44" i="2"/>
  <c r="AF42" i="2"/>
  <c r="P40" i="7" s="1"/>
  <c r="AD42" i="2"/>
  <c r="O40" i="7" s="1"/>
  <c r="AC42" i="2"/>
  <c r="AB42" i="2"/>
  <c r="N40" i="7" s="1"/>
  <c r="Z42" i="2"/>
  <c r="M40" i="7" s="1"/>
  <c r="Y42" i="2"/>
  <c r="X42" i="2"/>
  <c r="L40" i="7" s="1"/>
  <c r="V42" i="2"/>
  <c r="K40" i="7" s="1"/>
  <c r="U42" i="2"/>
  <c r="T42" i="2"/>
  <c r="J40" i="7" s="1"/>
  <c r="R42" i="2"/>
  <c r="I40" i="7" s="1"/>
  <c r="Q42" i="2"/>
  <c r="P42" i="2"/>
  <c r="H40" i="7" s="1"/>
  <c r="N42" i="2"/>
  <c r="G40" i="7" s="1"/>
  <c r="M42" i="2"/>
  <c r="L42" i="2"/>
  <c r="F40" i="7" s="1"/>
  <c r="J42" i="2"/>
  <c r="E40" i="7" s="1"/>
  <c r="I42" i="2"/>
  <c r="H42" i="2"/>
  <c r="D40" i="7" s="1"/>
  <c r="F42" i="2"/>
  <c r="C40" i="7" s="1"/>
  <c r="E42" i="2"/>
  <c r="D42" i="2"/>
  <c r="B40" i="7" s="1"/>
  <c r="AF41" i="2"/>
  <c r="P39" i="7" s="1"/>
  <c r="AE41" i="2"/>
  <c r="AD41" i="2"/>
  <c r="O39" i="7" s="1"/>
  <c r="AB41" i="2"/>
  <c r="N39" i="7" s="1"/>
  <c r="AA41" i="2"/>
  <c r="Z41" i="2"/>
  <c r="M39" i="7" s="1"/>
  <c r="X41" i="2"/>
  <c r="L39" i="7" s="1"/>
  <c r="W41" i="2"/>
  <c r="V41" i="2"/>
  <c r="K39" i="7" s="1"/>
  <c r="T41" i="2"/>
  <c r="J39" i="7" s="1"/>
  <c r="S41" i="2"/>
  <c r="R41" i="2"/>
  <c r="I39" i="7" s="1"/>
  <c r="P41" i="2"/>
  <c r="H39" i="7" s="1"/>
  <c r="O41" i="2"/>
  <c r="N41" i="2"/>
  <c r="G39" i="7" s="1"/>
  <c r="L41" i="2"/>
  <c r="F39" i="7" s="1"/>
  <c r="K41" i="2"/>
  <c r="J41" i="2"/>
  <c r="E39" i="7" s="1"/>
  <c r="H41" i="2"/>
  <c r="D39" i="7" s="1"/>
  <c r="G41" i="2"/>
  <c r="F41" i="2"/>
  <c r="C39" i="7" s="1"/>
  <c r="D41" i="2"/>
  <c r="B39" i="7" s="1"/>
  <c r="AD40" i="2"/>
  <c r="O38" i="7" s="1"/>
  <c r="N40" i="2"/>
  <c r="G38" i="7" s="1"/>
  <c r="AF39" i="2"/>
  <c r="P37" i="7" s="1"/>
  <c r="AE39" i="2"/>
  <c r="AD39" i="2"/>
  <c r="O37" i="7" s="1"/>
  <c r="AB39" i="2"/>
  <c r="N37" i="7" s="1"/>
  <c r="P39" i="2"/>
  <c r="H37" i="7" s="1"/>
  <c r="O39" i="2"/>
  <c r="N39" i="2"/>
  <c r="G37" i="7" s="1"/>
  <c r="L39" i="2"/>
  <c r="F37" i="7" s="1"/>
  <c r="AE38" i="2"/>
  <c r="AC38" i="2"/>
  <c r="AA38" i="2"/>
  <c r="Y38" i="2"/>
  <c r="W38" i="2"/>
  <c r="U38" i="2"/>
  <c r="S38" i="2"/>
  <c r="Q38" i="2"/>
  <c r="O38" i="2"/>
  <c r="M38" i="2"/>
  <c r="K38" i="2"/>
  <c r="I38" i="2"/>
  <c r="G38" i="2"/>
  <c r="E38" i="2"/>
  <c r="AE37" i="2"/>
  <c r="AC37" i="2"/>
  <c r="AA37" i="2"/>
  <c r="Y37" i="2"/>
  <c r="W37" i="2"/>
  <c r="U37" i="2"/>
  <c r="S37" i="2"/>
  <c r="Q37" i="2"/>
  <c r="O37" i="2"/>
  <c r="M37" i="2"/>
  <c r="K37" i="2"/>
  <c r="I37" i="2"/>
  <c r="G37" i="2"/>
  <c r="E37" i="2"/>
  <c r="AE36" i="2"/>
  <c r="AC36" i="2"/>
  <c r="AA36" i="2"/>
  <c r="Y36" i="2"/>
  <c r="W36" i="2"/>
  <c r="U36" i="2"/>
  <c r="S36" i="2"/>
  <c r="Q36" i="2"/>
  <c r="O36" i="2"/>
  <c r="M36" i="2"/>
  <c r="K36" i="2"/>
  <c r="I36" i="2"/>
  <c r="G36" i="2"/>
  <c r="E36" i="2"/>
  <c r="AD33" i="2"/>
  <c r="O31" i="7" s="1"/>
  <c r="Z33" i="2"/>
  <c r="M31" i="7" s="1"/>
  <c r="V33" i="2"/>
  <c r="K31" i="7" s="1"/>
  <c r="F6" i="3" s="1"/>
  <c r="R33" i="2"/>
  <c r="I31" i="7" s="1"/>
  <c r="N33" i="2"/>
  <c r="G31" i="7" s="1"/>
  <c r="J33" i="2"/>
  <c r="E31" i="7" s="1"/>
  <c r="F33" i="2"/>
  <c r="C31" i="7" s="1"/>
  <c r="AF32" i="2"/>
  <c r="P30" i="7" s="1"/>
  <c r="AD32" i="2"/>
  <c r="O30" i="7" s="1"/>
  <c r="AB32" i="2"/>
  <c r="N30" i="7" s="1"/>
  <c r="Z32" i="2"/>
  <c r="M30" i="7" s="1"/>
  <c r="X32" i="2"/>
  <c r="L30" i="7" s="1"/>
  <c r="V32" i="2"/>
  <c r="K30" i="7" s="1"/>
  <c r="T32" i="2"/>
  <c r="J30" i="7" s="1"/>
  <c r="R32" i="2"/>
  <c r="I30" i="7" s="1"/>
  <c r="P32" i="2"/>
  <c r="H30" i="7" s="1"/>
  <c r="N32" i="2"/>
  <c r="G30" i="7" s="1"/>
  <c r="L32" i="2"/>
  <c r="F30" i="7" s="1"/>
  <c r="J32" i="2"/>
  <c r="E30" i="7" s="1"/>
  <c r="H32" i="2"/>
  <c r="D30" i="7" s="1"/>
  <c r="F32" i="2"/>
  <c r="C30" i="7" s="1"/>
  <c r="D32" i="2"/>
  <c r="B30" i="7" s="1"/>
  <c r="AE31" i="2"/>
  <c r="AC31" i="2"/>
  <c r="AA31" i="2"/>
  <c r="Y31" i="2"/>
  <c r="W31" i="2"/>
  <c r="U31" i="2"/>
  <c r="S31" i="2"/>
  <c r="Q31" i="2"/>
  <c r="O31" i="2"/>
  <c r="M31" i="2"/>
  <c r="K31" i="2"/>
  <c r="I31" i="2"/>
  <c r="G31" i="2"/>
  <c r="E31" i="2"/>
  <c r="AE30" i="2"/>
  <c r="AC30" i="2"/>
  <c r="AA30" i="2"/>
  <c r="Y30" i="2"/>
  <c r="W30" i="2"/>
  <c r="U30" i="2"/>
  <c r="S30" i="2"/>
  <c r="Q30" i="2"/>
  <c r="O30" i="2"/>
  <c r="M30" i="2"/>
  <c r="K30" i="2"/>
  <c r="I30" i="2"/>
  <c r="G30" i="2"/>
  <c r="E30" i="2"/>
  <c r="AE29" i="2"/>
  <c r="AC29" i="2"/>
  <c r="AA29" i="2"/>
  <c r="Y29" i="2"/>
  <c r="W29" i="2"/>
  <c r="U29" i="2"/>
  <c r="S29" i="2"/>
  <c r="Q29" i="2"/>
  <c r="O29" i="2"/>
  <c r="M29" i="2"/>
  <c r="K29" i="2"/>
  <c r="I29" i="2"/>
  <c r="G29" i="2"/>
  <c r="E29" i="2"/>
  <c r="AE28" i="2"/>
  <c r="AC28" i="2"/>
  <c r="AA28" i="2"/>
  <c r="Y28" i="2"/>
  <c r="W28" i="2"/>
  <c r="U28" i="2"/>
  <c r="S28" i="2"/>
  <c r="Q28" i="2"/>
  <c r="O28" i="2"/>
  <c r="M28" i="2"/>
  <c r="K28" i="2"/>
  <c r="I28" i="2"/>
  <c r="G28" i="2"/>
  <c r="E28" i="2"/>
  <c r="AE27" i="2"/>
  <c r="AC27" i="2"/>
  <c r="AA27" i="2"/>
  <c r="Y27" i="2"/>
  <c r="W27" i="2"/>
  <c r="U27" i="2"/>
  <c r="S27" i="2"/>
  <c r="Q27" i="2"/>
  <c r="O27" i="2"/>
  <c r="M27" i="2"/>
  <c r="K27" i="2"/>
  <c r="I27" i="2"/>
  <c r="G27" i="2"/>
  <c r="E27" i="2"/>
  <c r="AE25" i="2"/>
  <c r="AC25" i="2"/>
  <c r="AA25" i="2"/>
  <c r="Y25" i="2"/>
  <c r="W25" i="2"/>
  <c r="U25" i="2"/>
  <c r="S25" i="2"/>
  <c r="Q25" i="2"/>
  <c r="O25" i="2"/>
  <c r="M25" i="2"/>
  <c r="K25" i="2"/>
  <c r="I25" i="2"/>
  <c r="G25" i="2"/>
  <c r="E25" i="2"/>
  <c r="AE24" i="2"/>
  <c r="AC24" i="2"/>
  <c r="AA24" i="2"/>
  <c r="Y24" i="2"/>
  <c r="W24" i="2"/>
  <c r="U24" i="2"/>
  <c r="S24" i="2"/>
  <c r="Q24" i="2"/>
  <c r="O24" i="2"/>
  <c r="M24" i="2"/>
  <c r="K24" i="2"/>
  <c r="I24" i="2"/>
  <c r="G24" i="2"/>
  <c r="E24" i="2"/>
  <c r="AE23" i="2"/>
  <c r="AC23" i="2"/>
  <c r="AA23" i="2"/>
  <c r="Y23" i="2"/>
  <c r="W23" i="2"/>
  <c r="U23" i="2"/>
  <c r="S23" i="2"/>
  <c r="Q23" i="2"/>
  <c r="O23" i="2"/>
  <c r="M23" i="2"/>
  <c r="K23" i="2"/>
  <c r="I23" i="2"/>
  <c r="G23" i="2"/>
  <c r="E23" i="2"/>
  <c r="AE22" i="2"/>
  <c r="AC22" i="2"/>
  <c r="AA22" i="2"/>
  <c r="Y22" i="2"/>
  <c r="W22" i="2"/>
  <c r="U22" i="2"/>
  <c r="S22" i="2"/>
  <c r="Q22" i="2"/>
  <c r="O22" i="2"/>
  <c r="M22" i="2"/>
  <c r="K22" i="2"/>
  <c r="I22" i="2"/>
  <c r="G22" i="2"/>
  <c r="E22" i="2"/>
  <c r="AE21" i="2"/>
  <c r="AC21" i="2"/>
  <c r="AA21" i="2"/>
  <c r="Y21" i="2"/>
  <c r="W21" i="2"/>
  <c r="U21" i="2"/>
  <c r="S21" i="2"/>
  <c r="Q21" i="2"/>
  <c r="O21" i="2"/>
  <c r="M21" i="2"/>
  <c r="K21" i="2"/>
  <c r="I21" i="2"/>
  <c r="G21" i="2"/>
  <c r="E21" i="2"/>
  <c r="AE20" i="2"/>
  <c r="AC20" i="2"/>
  <c r="AA20" i="2"/>
  <c r="Y20" i="2"/>
  <c r="W20" i="2"/>
  <c r="U20" i="2"/>
  <c r="S20" i="2"/>
  <c r="Q20" i="2"/>
  <c r="O20" i="2"/>
  <c r="M20" i="2"/>
  <c r="K20" i="2"/>
  <c r="I20" i="2"/>
  <c r="G20" i="2"/>
  <c r="E20" i="2"/>
  <c r="AE19" i="2"/>
  <c r="AC19" i="2"/>
  <c r="AA19" i="2"/>
  <c r="Y19" i="2"/>
  <c r="W19" i="2"/>
  <c r="U19" i="2"/>
  <c r="S19" i="2"/>
  <c r="Q19" i="2"/>
  <c r="O19" i="2"/>
  <c r="M19" i="2"/>
  <c r="K19" i="2"/>
  <c r="I19" i="2"/>
  <c r="G19" i="2"/>
  <c r="E19" i="2"/>
  <c r="AE18" i="2"/>
  <c r="AC18" i="2"/>
  <c r="AA18" i="2"/>
  <c r="Y18" i="2"/>
  <c r="W18" i="2"/>
  <c r="U18" i="2"/>
  <c r="S18" i="2"/>
  <c r="Q18" i="2"/>
  <c r="O18" i="2"/>
  <c r="M18" i="2"/>
  <c r="K18" i="2"/>
  <c r="I18" i="2"/>
  <c r="G18" i="2"/>
  <c r="E18" i="2"/>
  <c r="AE17" i="2"/>
  <c r="AC17" i="2"/>
  <c r="AA17" i="2"/>
  <c r="Y17" i="2"/>
  <c r="W17" i="2"/>
  <c r="U17" i="2"/>
  <c r="S17" i="2"/>
  <c r="Q17" i="2"/>
  <c r="O17" i="2"/>
  <c r="M17" i="2"/>
  <c r="K17" i="2"/>
  <c r="I17" i="2"/>
  <c r="G17" i="2"/>
  <c r="E17" i="2"/>
  <c r="AE16" i="2"/>
  <c r="AC16" i="2"/>
  <c r="AA16" i="2"/>
  <c r="Y16" i="2"/>
  <c r="W16" i="2"/>
  <c r="U16" i="2"/>
  <c r="S16" i="2"/>
  <c r="Q16" i="2"/>
  <c r="O16" i="2"/>
  <c r="M16" i="2"/>
  <c r="K16" i="2"/>
  <c r="I16" i="2"/>
  <c r="G16" i="2"/>
  <c r="E16" i="2"/>
  <c r="AE15" i="2"/>
  <c r="AC15" i="2"/>
  <c r="AA15" i="2"/>
  <c r="Y15" i="2"/>
  <c r="W15" i="2"/>
  <c r="U15" i="2"/>
  <c r="S15" i="2"/>
  <c r="Q15" i="2"/>
  <c r="O15" i="2"/>
  <c r="M15" i="2"/>
  <c r="K15" i="2"/>
  <c r="I15" i="2"/>
  <c r="G15" i="2"/>
  <c r="E15" i="2"/>
  <c r="AE14" i="2"/>
  <c r="AC14" i="2"/>
  <c r="AA14" i="2"/>
  <c r="Y14" i="2"/>
  <c r="W14" i="2"/>
  <c r="U14" i="2"/>
  <c r="S14" i="2"/>
  <c r="Q14" i="2"/>
  <c r="O14" i="2"/>
  <c r="M14" i="2"/>
  <c r="K14" i="2"/>
  <c r="I14" i="2"/>
  <c r="G14" i="2"/>
  <c r="E14" i="2"/>
  <c r="AE13" i="2"/>
  <c r="AC13" i="2"/>
  <c r="AA13" i="2"/>
  <c r="Y13" i="2"/>
  <c r="W13" i="2"/>
  <c r="U13" i="2"/>
  <c r="S13" i="2"/>
  <c r="Q13" i="2"/>
  <c r="O13" i="2"/>
  <c r="M13" i="2"/>
  <c r="K13" i="2"/>
  <c r="I13" i="2"/>
  <c r="G13" i="2"/>
  <c r="E13" i="2"/>
  <c r="AE11" i="2"/>
  <c r="AC11" i="2"/>
  <c r="AA11" i="2"/>
  <c r="Y11" i="2"/>
  <c r="W11" i="2"/>
  <c r="U11" i="2"/>
  <c r="S11" i="2"/>
  <c r="O11" i="2"/>
  <c r="M11" i="2"/>
  <c r="K11" i="2"/>
  <c r="I11" i="2"/>
  <c r="G11" i="2"/>
  <c r="E11" i="2"/>
  <c r="AE10" i="2"/>
  <c r="AC10" i="2"/>
  <c r="AA10" i="2"/>
  <c r="Y10" i="2"/>
  <c r="W10" i="2"/>
  <c r="U10" i="2"/>
  <c r="S10" i="2"/>
  <c r="Q10" i="2"/>
  <c r="O10" i="2"/>
  <c r="M10" i="2"/>
  <c r="K10" i="2"/>
  <c r="I10" i="2"/>
  <c r="G10" i="2"/>
  <c r="E10" i="2"/>
  <c r="AF8" i="2"/>
  <c r="P6" i="7" s="1"/>
  <c r="S6" i="8" s="1"/>
  <c r="AD8" i="2"/>
  <c r="O6" i="7" s="1"/>
  <c r="R6" i="8" s="1"/>
  <c r="AB8" i="2"/>
  <c r="N6" i="7" s="1"/>
  <c r="Q6" i="8" s="1"/>
  <c r="Z8" i="2"/>
  <c r="M6" i="7" s="1"/>
  <c r="P6" i="8" s="1"/>
  <c r="X8" i="2"/>
  <c r="L6" i="7" s="1"/>
  <c r="O6" i="8" s="1"/>
  <c r="V8" i="2"/>
  <c r="K6" i="7" s="1"/>
  <c r="N6" i="8" s="1"/>
  <c r="T8" i="2"/>
  <c r="J6" i="7" s="1"/>
  <c r="M6" i="8" s="1"/>
  <c r="R8" i="2"/>
  <c r="I6" i="7" s="1"/>
  <c r="L6" i="8" s="1"/>
  <c r="P8" i="2"/>
  <c r="H6" i="7" s="1"/>
  <c r="K6" i="8" s="1"/>
  <c r="N8" i="2"/>
  <c r="G6" i="7" s="1"/>
  <c r="J6" i="8" s="1"/>
  <c r="L8" i="2"/>
  <c r="F6" i="7" s="1"/>
  <c r="I6" i="8" s="1"/>
  <c r="J8" i="2"/>
  <c r="E6" i="7" s="1"/>
  <c r="H6" i="8" s="1"/>
  <c r="H8" i="2"/>
  <c r="D6" i="7" s="1"/>
  <c r="G6" i="8" s="1"/>
  <c r="F8" i="2"/>
  <c r="D8" i="2"/>
  <c r="B6" i="7" s="1"/>
  <c r="E6" i="8" s="1"/>
  <c r="B6" i="8" s="1"/>
  <c r="AF7" i="2"/>
  <c r="P5" i="7" s="1"/>
  <c r="S5" i="8" s="1"/>
  <c r="P56" i="13" s="1"/>
  <c r="AD7" i="2"/>
  <c r="O5" i="7" s="1"/>
  <c r="R5" i="8" s="1"/>
  <c r="O56" i="13" s="1"/>
  <c r="AB7" i="2"/>
  <c r="N5" i="7" s="1"/>
  <c r="Q5" i="8" s="1"/>
  <c r="N56" i="13" s="1"/>
  <c r="Z7" i="2"/>
  <c r="M5" i="7" s="1"/>
  <c r="P5" i="8" s="1"/>
  <c r="M56" i="13" s="1"/>
  <c r="X7" i="2"/>
  <c r="L5" i="7" s="1"/>
  <c r="O5" i="8" s="1"/>
  <c r="L56" i="13" s="1"/>
  <c r="V7" i="2"/>
  <c r="K5" i="7" s="1"/>
  <c r="N5" i="8" s="1"/>
  <c r="K56" i="13" s="1"/>
  <c r="T7" i="2"/>
  <c r="J5" i="7" s="1"/>
  <c r="M5" i="8" s="1"/>
  <c r="J56" i="13" s="1"/>
  <c r="R7" i="2"/>
  <c r="I5" i="7" s="1"/>
  <c r="L5" i="8" s="1"/>
  <c r="I56" i="13" s="1"/>
  <c r="P7" i="2"/>
  <c r="H5" i="7" s="1"/>
  <c r="K5" i="8" s="1"/>
  <c r="H56" i="13" s="1"/>
  <c r="N7" i="2"/>
  <c r="G5" i="7" s="1"/>
  <c r="J5" i="8" s="1"/>
  <c r="G56" i="13" s="1"/>
  <c r="L7" i="2"/>
  <c r="F5" i="7" s="1"/>
  <c r="I5" i="8" s="1"/>
  <c r="F56" i="13" s="1"/>
  <c r="J7" i="2"/>
  <c r="E5" i="7" s="1"/>
  <c r="H5" i="8" s="1"/>
  <c r="E56" i="13" s="1"/>
  <c r="H7" i="2"/>
  <c r="D5" i="7" s="1"/>
  <c r="G5" i="8" s="1"/>
  <c r="D56" i="13" s="1"/>
  <c r="F7" i="2"/>
  <c r="C5" i="7" s="1"/>
  <c r="F5" i="8" s="1"/>
  <c r="C56" i="13" s="1"/>
  <c r="D7" i="2"/>
  <c r="B5" i="7" s="1"/>
  <c r="E5" i="8" s="1"/>
  <c r="B1" i="2"/>
  <c r="E7" i="4" l="1"/>
  <c r="U7" i="4"/>
  <c r="U73" i="4" s="1"/>
  <c r="Y7" i="4"/>
  <c r="Y73" i="4" s="1"/>
  <c r="O7" i="4"/>
  <c r="O73" i="4" s="1"/>
  <c r="AE7" i="4"/>
  <c r="AE73" i="4" s="1"/>
  <c r="AG7" i="4"/>
  <c r="AG73" i="4" s="1"/>
  <c r="T146" i="2"/>
  <c r="J143" i="7" s="1"/>
  <c r="M143" i="8" s="1"/>
  <c r="G51" i="3"/>
  <c r="K50" i="3" s="1"/>
  <c r="K701" i="6" s="1"/>
  <c r="AC7" i="4"/>
  <c r="AC73" i="4" s="1"/>
  <c r="G7" i="4"/>
  <c r="T57" i="4"/>
  <c r="F182" i="6"/>
  <c r="G50" i="3"/>
  <c r="G701" i="6" s="1"/>
  <c r="K51" i="3"/>
  <c r="K702" i="6" s="1"/>
  <c r="N82" i="4"/>
  <c r="M86" i="3"/>
  <c r="N86" i="3" s="1"/>
  <c r="W7" i="4"/>
  <c r="W73" i="4" s="1"/>
  <c r="W143" i="2"/>
  <c r="M87" i="3"/>
  <c r="N87" i="3" s="1"/>
  <c r="P57" i="4"/>
  <c r="E60" i="4"/>
  <c r="E85" i="4"/>
  <c r="W83" i="4"/>
  <c r="X58" i="4"/>
  <c r="X83" i="4" s="1"/>
  <c r="W58" i="4"/>
  <c r="J58" i="4"/>
  <c r="J83" i="4" s="1"/>
  <c r="K68" i="4"/>
  <c r="L68" i="4" s="1"/>
  <c r="K93" i="4"/>
  <c r="E355" i="13"/>
  <c r="C355" i="13" s="1"/>
  <c r="M799" i="6"/>
  <c r="O145" i="3"/>
  <c r="O799" i="6" s="1"/>
  <c r="N148" i="2"/>
  <c r="F179" i="6"/>
  <c r="O6" i="3"/>
  <c r="I145" i="7"/>
  <c r="G144" i="7"/>
  <c r="I13" i="4"/>
  <c r="I79" i="4" s="1"/>
  <c r="O44" i="4"/>
  <c r="O53" i="4"/>
  <c r="O52" i="4"/>
  <c r="O51" i="4"/>
  <c r="O50" i="4"/>
  <c r="O49" i="4"/>
  <c r="O48" i="4"/>
  <c r="O47" i="4"/>
  <c r="O46" i="4"/>
  <c r="O45" i="4"/>
  <c r="M93" i="4"/>
  <c r="M68" i="4"/>
  <c r="N68" i="4" s="1"/>
  <c r="N69" i="4" s="1"/>
  <c r="T39" i="2"/>
  <c r="E52" i="2"/>
  <c r="M52" i="2"/>
  <c r="U52" i="2"/>
  <c r="AC52" i="2"/>
  <c r="G60" i="2"/>
  <c r="O60" i="2"/>
  <c r="W60" i="2"/>
  <c r="AE60" i="2"/>
  <c r="K70" i="2"/>
  <c r="S70" i="2"/>
  <c r="AA70" i="2"/>
  <c r="K91" i="2"/>
  <c r="S91" i="2"/>
  <c r="AA91" i="2"/>
  <c r="D116" i="2"/>
  <c r="L116" i="2"/>
  <c r="T116" i="2"/>
  <c r="D132" i="2"/>
  <c r="L132" i="2"/>
  <c r="T132" i="2"/>
  <c r="AB132" i="2"/>
  <c r="H133" i="2"/>
  <c r="D131" i="7" s="1"/>
  <c r="G131" i="8" s="1"/>
  <c r="X133" i="2"/>
  <c r="L131" i="7" s="1"/>
  <c r="O131" i="8" s="1"/>
  <c r="F134" i="2"/>
  <c r="N134" i="2"/>
  <c r="V134" i="2"/>
  <c r="AD134" i="2"/>
  <c r="N139" i="2"/>
  <c r="G136" i="7" s="1"/>
  <c r="J136" i="8" s="1"/>
  <c r="AD139" i="2"/>
  <c r="O136" i="7" s="1"/>
  <c r="R136" i="8" s="1"/>
  <c r="L140" i="2"/>
  <c r="T140" i="2"/>
  <c r="AB140" i="2"/>
  <c r="Q141" i="2"/>
  <c r="O147" i="2"/>
  <c r="Z148" i="2"/>
  <c r="Q53" i="4"/>
  <c r="Q52" i="4"/>
  <c r="Q51" i="4"/>
  <c r="Q50" i="4"/>
  <c r="Q49" i="4"/>
  <c r="Q48" i="4"/>
  <c r="Q47" i="4"/>
  <c r="Q46" i="4"/>
  <c r="Q45" i="4"/>
  <c r="AG53" i="4"/>
  <c r="AG52" i="4"/>
  <c r="AG51" i="4"/>
  <c r="AG50" i="4"/>
  <c r="AG49" i="4"/>
  <c r="AG48" i="4"/>
  <c r="AG47" i="4"/>
  <c r="AG46" i="4"/>
  <c r="AG45" i="4"/>
  <c r="O43" i="4"/>
  <c r="Q44" i="4"/>
  <c r="S87" i="4"/>
  <c r="S62" i="4"/>
  <c r="S90" i="4"/>
  <c r="S65" i="4"/>
  <c r="S67" i="4"/>
  <c r="S92" i="4"/>
  <c r="S68" i="4"/>
  <c r="S93" i="4"/>
  <c r="U64" i="4"/>
  <c r="K622" i="6"/>
  <c r="H20" i="12" s="1"/>
  <c r="K12" i="15" s="1"/>
  <c r="K614" i="6"/>
  <c r="H12" i="12" s="1"/>
  <c r="K4" i="15" s="1"/>
  <c r="K617" i="6"/>
  <c r="H15" i="12" s="1"/>
  <c r="K7" i="15" s="1"/>
  <c r="L609" i="6"/>
  <c r="K615" i="6"/>
  <c r="H13" i="12" s="1"/>
  <c r="K5" i="15" s="1"/>
  <c r="K613" i="6"/>
  <c r="H11" i="12" s="1"/>
  <c r="K3" i="15" s="1"/>
  <c r="K621" i="6"/>
  <c r="H19" i="12" s="1"/>
  <c r="K11" i="15" s="1"/>
  <c r="K619" i="6"/>
  <c r="H17" i="12" s="1"/>
  <c r="K9" i="15" s="1"/>
  <c r="J609" i="6"/>
  <c r="K612" i="6"/>
  <c r="H10" i="12" s="1"/>
  <c r="K2" i="15" s="1"/>
  <c r="K623" i="6"/>
  <c r="H21" i="12" s="1"/>
  <c r="K13" i="15" s="1"/>
  <c r="K620" i="6"/>
  <c r="H18" i="12" s="1"/>
  <c r="K10" i="15" s="1"/>
  <c r="K618" i="6"/>
  <c r="H16" i="12" s="1"/>
  <c r="K8" i="15" s="1"/>
  <c r="K616" i="6"/>
  <c r="H14" i="12" s="1"/>
  <c r="K6" i="15" s="1"/>
  <c r="D397" i="6"/>
  <c r="D396" i="6"/>
  <c r="D531" i="6"/>
  <c r="D545" i="6"/>
  <c r="D537" i="6"/>
  <c r="D547" i="6"/>
  <c r="D539" i="6"/>
  <c r="D535" i="6"/>
  <c r="D529" i="6"/>
  <c r="D541" i="6"/>
  <c r="D543" i="6"/>
  <c r="D533" i="6"/>
  <c r="I58" i="13"/>
  <c r="I252" i="13"/>
  <c r="I87" i="13"/>
  <c r="K59" i="4"/>
  <c r="L59" i="4" s="1"/>
  <c r="K84" i="4"/>
  <c r="M87" i="4"/>
  <c r="M62" i="4"/>
  <c r="N62" i="4" s="1"/>
  <c r="J252" i="13"/>
  <c r="J87" i="13"/>
  <c r="J58" i="13"/>
  <c r="Q32" i="2"/>
  <c r="Y32" i="2"/>
  <c r="D39" i="2"/>
  <c r="K87" i="13"/>
  <c r="K252" i="13"/>
  <c r="K58" i="13"/>
  <c r="D33" i="2"/>
  <c r="L33" i="2"/>
  <c r="T33" i="2"/>
  <c r="AB33" i="2"/>
  <c r="F34" i="2"/>
  <c r="N34" i="2"/>
  <c r="V34" i="2"/>
  <c r="AD34" i="2"/>
  <c r="M39" i="2"/>
  <c r="AC39" i="2"/>
  <c r="I41" i="2"/>
  <c r="Q41" i="2"/>
  <c r="Y41" i="2"/>
  <c r="K42" i="2"/>
  <c r="S42" i="2"/>
  <c r="AA42" i="2"/>
  <c r="I48" i="2"/>
  <c r="Q48" i="2"/>
  <c r="Y48" i="2"/>
  <c r="K56" i="2"/>
  <c r="S56" i="2"/>
  <c r="AA56" i="2"/>
  <c r="J61" i="2"/>
  <c r="R61" i="2"/>
  <c r="Z61" i="2"/>
  <c r="Y61" i="2" s="1"/>
  <c r="G66" i="2"/>
  <c r="O66" i="2"/>
  <c r="W66" i="2"/>
  <c r="AE66" i="2"/>
  <c r="F71" i="2"/>
  <c r="N71" i="2"/>
  <c r="V71" i="2"/>
  <c r="U71" i="2" s="1"/>
  <c r="AD71" i="2"/>
  <c r="AC71" i="2" s="1"/>
  <c r="I81" i="2"/>
  <c r="Q81" i="2"/>
  <c r="Y81" i="2"/>
  <c r="G101" i="2"/>
  <c r="J141" i="2"/>
  <c r="Z141" i="2"/>
  <c r="D142" i="2"/>
  <c r="B139" i="7" s="1"/>
  <c r="E139" i="8" s="1"/>
  <c r="P147" i="2"/>
  <c r="Y147" i="2"/>
  <c r="N796" i="6"/>
  <c r="M146" i="3"/>
  <c r="O142" i="3"/>
  <c r="O796" i="6" s="1"/>
  <c r="S83" i="4"/>
  <c r="T58" i="4"/>
  <c r="T83" i="4" s="1"/>
  <c r="Q43" i="4"/>
  <c r="S59" i="4"/>
  <c r="S84" i="4"/>
  <c r="U85" i="4"/>
  <c r="U60" i="4"/>
  <c r="U65" i="4"/>
  <c r="U90" i="4"/>
  <c r="U66" i="4"/>
  <c r="U91" i="4"/>
  <c r="U93" i="4"/>
  <c r="U68" i="4"/>
  <c r="V57" i="4"/>
  <c r="M67" i="4"/>
  <c r="N67" i="4" s="1"/>
  <c r="I77" i="4"/>
  <c r="N146" i="2" s="1"/>
  <c r="S86" i="4"/>
  <c r="U88" i="4"/>
  <c r="M90" i="4"/>
  <c r="D528" i="6"/>
  <c r="H113" i="8"/>
  <c r="H144" i="8"/>
  <c r="H133" i="8"/>
  <c r="H111" i="8"/>
  <c r="E21" i="13" s="1"/>
  <c r="H118" i="8"/>
  <c r="E116" i="13" s="1"/>
  <c r="H99" i="8"/>
  <c r="E46" i="13" s="1"/>
  <c r="H75" i="8"/>
  <c r="I75" i="8" s="1"/>
  <c r="J75" i="8" s="1"/>
  <c r="K75" i="8" s="1"/>
  <c r="H105" i="8"/>
  <c r="E29" i="13" s="1"/>
  <c r="H102" i="8"/>
  <c r="E26" i="13" s="1"/>
  <c r="H93" i="8"/>
  <c r="I93" i="8" s="1"/>
  <c r="J93" i="8" s="1"/>
  <c r="K93" i="8" s="1"/>
  <c r="H90" i="8"/>
  <c r="H82" i="8"/>
  <c r="H101" i="8"/>
  <c r="E25" i="13" s="1"/>
  <c r="H65" i="8"/>
  <c r="H104" i="8"/>
  <c r="E28" i="13" s="1"/>
  <c r="H80" i="8"/>
  <c r="H117" i="8"/>
  <c r="E84" i="13" s="1"/>
  <c r="H103" i="8"/>
  <c r="E27" i="13" s="1"/>
  <c r="H55" i="8"/>
  <c r="H47" i="8"/>
  <c r="H30" i="8"/>
  <c r="H21" i="8"/>
  <c r="H13" i="8"/>
  <c r="H110" i="8"/>
  <c r="E20" i="13" s="1"/>
  <c r="H89" i="8"/>
  <c r="E45" i="13" s="1"/>
  <c r="H68" i="8"/>
  <c r="E42" i="13" s="1"/>
  <c r="H61" i="8"/>
  <c r="H35" i="8"/>
  <c r="H27" i="8"/>
  <c r="E11" i="13" s="1"/>
  <c r="H18" i="8"/>
  <c r="H107" i="8"/>
  <c r="E17" i="13" s="1"/>
  <c r="H40" i="8"/>
  <c r="H23" i="8"/>
  <c r="H15" i="8"/>
  <c r="H109" i="8"/>
  <c r="E19" i="13" s="1"/>
  <c r="H70" i="8"/>
  <c r="H64" i="8"/>
  <c r="E41" i="13" s="1"/>
  <c r="H54" i="8"/>
  <c r="E35" i="13" s="1"/>
  <c r="H46" i="8"/>
  <c r="E33" i="13" s="1"/>
  <c r="H29" i="8"/>
  <c r="E13" i="13" s="1"/>
  <c r="H20" i="8"/>
  <c r="H12" i="8"/>
  <c r="H51" i="8"/>
  <c r="H34" i="8"/>
  <c r="H26" i="8"/>
  <c r="E10" i="13" s="1"/>
  <c r="H17" i="8"/>
  <c r="H108" i="8"/>
  <c r="E18" i="13" s="1"/>
  <c r="H28" i="8"/>
  <c r="E12" i="13" s="1"/>
  <c r="H19" i="8"/>
  <c r="H42" i="8"/>
  <c r="H31" i="8"/>
  <c r="E5" i="13" s="1"/>
  <c r="H79" i="8"/>
  <c r="E44" i="13" s="1"/>
  <c r="H39" i="8"/>
  <c r="H22" i="8"/>
  <c r="H9" i="8"/>
  <c r="H1" i="8"/>
  <c r="E1" i="13" s="1"/>
  <c r="H50" i="8"/>
  <c r="E34" i="13" s="1"/>
  <c r="H14" i="8"/>
  <c r="H58" i="8"/>
  <c r="E36" i="13" s="1"/>
  <c r="H25" i="8"/>
  <c r="E9" i="13" s="1"/>
  <c r="H11" i="8"/>
  <c r="H16" i="8"/>
  <c r="H8" i="8"/>
  <c r="E2" i="13" s="1"/>
  <c r="P113" i="8"/>
  <c r="P133" i="8"/>
  <c r="P111" i="8"/>
  <c r="M21" i="13" s="1"/>
  <c r="P110" i="8"/>
  <c r="M20" i="13" s="1"/>
  <c r="P105" i="8"/>
  <c r="M29" i="13" s="1"/>
  <c r="P102" i="8"/>
  <c r="M26" i="13" s="1"/>
  <c r="P103" i="8"/>
  <c r="M27" i="13" s="1"/>
  <c r="P108" i="8"/>
  <c r="M18" i="13" s="1"/>
  <c r="P101" i="8"/>
  <c r="M25" i="13" s="1"/>
  <c r="P107" i="8"/>
  <c r="M17" i="13" s="1"/>
  <c r="P30" i="8"/>
  <c r="P21" i="8"/>
  <c r="Q21" i="8" s="1"/>
  <c r="R21" i="8" s="1"/>
  <c r="S21" i="8" s="1"/>
  <c r="P35" i="8"/>
  <c r="P27" i="8"/>
  <c r="M11" i="13" s="1"/>
  <c r="P18" i="8"/>
  <c r="Q18" i="8" s="1"/>
  <c r="R18" i="8" s="1"/>
  <c r="S18" i="8" s="1"/>
  <c r="P109" i="8"/>
  <c r="M19" i="13" s="1"/>
  <c r="P40" i="8"/>
  <c r="Q40" i="8" s="1"/>
  <c r="R40" i="8" s="1"/>
  <c r="S40" i="8" s="1"/>
  <c r="P15" i="8"/>
  <c r="P29" i="8"/>
  <c r="M13" i="13" s="1"/>
  <c r="P12" i="8"/>
  <c r="Q12" i="8" s="1"/>
  <c r="R12" i="8" s="1"/>
  <c r="S12" i="8" s="1"/>
  <c r="P34" i="8"/>
  <c r="Q34" i="8" s="1"/>
  <c r="R34" i="8" s="1"/>
  <c r="S34" i="8" s="1"/>
  <c r="P26" i="8"/>
  <c r="M10" i="13" s="1"/>
  <c r="P36" i="8"/>
  <c r="P14" i="8"/>
  <c r="P8" i="8"/>
  <c r="M2" i="13" s="1"/>
  <c r="P104" i="8"/>
  <c r="M28" i="13" s="1"/>
  <c r="P25" i="8"/>
  <c r="M9" i="13" s="1"/>
  <c r="P1" i="8"/>
  <c r="M1" i="13" s="1"/>
  <c r="P28" i="8"/>
  <c r="M12" i="13" s="1"/>
  <c r="P9" i="8"/>
  <c r="P31" i="8"/>
  <c r="M5" i="13" s="1"/>
  <c r="I83" i="4"/>
  <c r="I58" i="4"/>
  <c r="M89" i="4"/>
  <c r="M64" i="4"/>
  <c r="N64" i="4" s="1"/>
  <c r="M66" i="4"/>
  <c r="N66" i="4" s="1"/>
  <c r="M91" i="4"/>
  <c r="O80" i="4"/>
  <c r="M85" i="4"/>
  <c r="B56" i="13"/>
  <c r="B5" i="8"/>
  <c r="I32" i="2"/>
  <c r="S33" i="2"/>
  <c r="C252" i="13"/>
  <c r="C87" i="13"/>
  <c r="C58" i="13"/>
  <c r="D252" i="13"/>
  <c r="D58" i="13"/>
  <c r="D87" i="13"/>
  <c r="L252" i="13"/>
  <c r="L87" i="13"/>
  <c r="L58" i="13"/>
  <c r="K32" i="2"/>
  <c r="S32" i="2"/>
  <c r="AA32" i="2"/>
  <c r="F39" i="2"/>
  <c r="V39" i="2"/>
  <c r="P40" i="2"/>
  <c r="AF40" i="2"/>
  <c r="P38" i="7" s="1"/>
  <c r="G52" i="2"/>
  <c r="O52" i="2"/>
  <c r="W52" i="2"/>
  <c r="AE52" i="2"/>
  <c r="I60" i="2"/>
  <c r="Q60" i="2"/>
  <c r="Y60" i="2"/>
  <c r="E70" i="2"/>
  <c r="M70" i="2"/>
  <c r="U70" i="2"/>
  <c r="AC70" i="2"/>
  <c r="E91" i="2"/>
  <c r="M91" i="2"/>
  <c r="U91" i="2"/>
  <c r="AC91" i="2"/>
  <c r="F116" i="2"/>
  <c r="N116" i="2"/>
  <c r="V116" i="2"/>
  <c r="AB117" i="2"/>
  <c r="N115" i="7" s="1"/>
  <c r="P135" i="2"/>
  <c r="H133" i="7" s="1"/>
  <c r="AF135" i="2"/>
  <c r="P133" i="7" s="1"/>
  <c r="S133" i="8" s="1"/>
  <c r="P148" i="2"/>
  <c r="P145" i="2"/>
  <c r="AF148" i="2"/>
  <c r="P145" i="7" s="1"/>
  <c r="AF145" i="2"/>
  <c r="P142" i="7" s="1"/>
  <c r="R139" i="2"/>
  <c r="I136" i="7" s="1"/>
  <c r="L136" i="8" s="1"/>
  <c r="N140" i="2"/>
  <c r="AD140" i="2"/>
  <c r="Z143" i="2"/>
  <c r="Z144" i="2"/>
  <c r="Z145" i="2"/>
  <c r="Z146" i="2"/>
  <c r="AA147" i="2"/>
  <c r="AB148" i="2"/>
  <c r="AC76" i="4"/>
  <c r="E58" i="4"/>
  <c r="C632" i="6" s="1"/>
  <c r="E632" i="6" s="1"/>
  <c r="E83" i="4"/>
  <c r="Y44" i="4"/>
  <c r="AA45" i="4"/>
  <c r="AA46" i="4"/>
  <c r="AA47" i="4"/>
  <c r="AA48" i="4"/>
  <c r="AA49" i="4"/>
  <c r="AA50" i="4"/>
  <c r="AA51" i="4"/>
  <c r="AA52" i="4"/>
  <c r="AA53" i="4"/>
  <c r="X57" i="4"/>
  <c r="U61" i="4"/>
  <c r="M63" i="4"/>
  <c r="N63" i="4" s="1"/>
  <c r="S66" i="4"/>
  <c r="AD82" i="4"/>
  <c r="U87" i="4"/>
  <c r="G622" i="6"/>
  <c r="G620" i="6"/>
  <c r="H609" i="6"/>
  <c r="G621" i="6"/>
  <c r="G623" i="6"/>
  <c r="F609" i="6"/>
  <c r="G614" i="6" s="1"/>
  <c r="K624" i="6"/>
  <c r="H22" i="12" s="1"/>
  <c r="K14" i="15" s="1"/>
  <c r="K81" i="2"/>
  <c r="S81" i="2"/>
  <c r="AA81" i="2"/>
  <c r="I101" i="2"/>
  <c r="Q101" i="2"/>
  <c r="Y101" i="2"/>
  <c r="E115" i="2"/>
  <c r="M115" i="2"/>
  <c r="U115" i="2"/>
  <c r="AC115" i="2"/>
  <c r="AE116" i="2"/>
  <c r="AD117" i="2"/>
  <c r="O115" i="7" s="1"/>
  <c r="K130" i="2"/>
  <c r="S130" i="2"/>
  <c r="AA130" i="2"/>
  <c r="E131" i="2"/>
  <c r="M131" i="2"/>
  <c r="U131" i="2"/>
  <c r="AC131" i="2"/>
  <c r="G132" i="2"/>
  <c r="O132" i="2"/>
  <c r="W132" i="2"/>
  <c r="AE132" i="2"/>
  <c r="I134" i="2"/>
  <c r="Q134" i="2"/>
  <c r="Y134" i="2"/>
  <c r="R135" i="2"/>
  <c r="I133" i="7" s="1"/>
  <c r="C138" i="2"/>
  <c r="C564" i="6" s="1"/>
  <c r="R147" i="2"/>
  <c r="T139" i="2"/>
  <c r="J136" i="7" s="1"/>
  <c r="M136" i="8" s="1"/>
  <c r="W140" i="2"/>
  <c r="L141" i="2"/>
  <c r="T141" i="2"/>
  <c r="S141" i="2" s="1"/>
  <c r="AB141" i="2"/>
  <c r="R143" i="2"/>
  <c r="Q143" i="2" s="1"/>
  <c r="R144" i="2"/>
  <c r="AB144" i="2"/>
  <c r="R145" i="2"/>
  <c r="R146" i="2"/>
  <c r="Q146" i="2" s="1"/>
  <c r="I147" i="2"/>
  <c r="AB147" i="2"/>
  <c r="I7" i="3"/>
  <c r="O10" i="3"/>
  <c r="O185" i="6" s="1"/>
  <c r="G80" i="4"/>
  <c r="L148" i="2" s="1"/>
  <c r="G44" i="4"/>
  <c r="G53" i="4"/>
  <c r="G52" i="4"/>
  <c r="G51" i="4"/>
  <c r="G50" i="4"/>
  <c r="G49" i="4"/>
  <c r="G48" i="4"/>
  <c r="G47" i="4"/>
  <c r="G46" i="4"/>
  <c r="G45" i="4"/>
  <c r="W80" i="4"/>
  <c r="W44" i="4"/>
  <c r="W53" i="4"/>
  <c r="W52" i="4"/>
  <c r="W51" i="4"/>
  <c r="W50" i="4"/>
  <c r="W49" i="4"/>
  <c r="W48" i="4"/>
  <c r="W47" i="4"/>
  <c r="W46" i="4"/>
  <c r="W45" i="4"/>
  <c r="Y43" i="4"/>
  <c r="AA44" i="4"/>
  <c r="AC45" i="4"/>
  <c r="AC46" i="4"/>
  <c r="AC47" i="4"/>
  <c r="AC48" i="4"/>
  <c r="AC49" i="4"/>
  <c r="AC50" i="4"/>
  <c r="AC51" i="4"/>
  <c r="AC52" i="4"/>
  <c r="AC53" i="4"/>
  <c r="AF82" i="4"/>
  <c r="M252" i="13"/>
  <c r="M87" i="13"/>
  <c r="M58" i="13"/>
  <c r="N252" i="13"/>
  <c r="N87" i="13"/>
  <c r="N58" i="13"/>
  <c r="E32" i="2"/>
  <c r="U32" i="2"/>
  <c r="G33" i="2"/>
  <c r="H39" i="2"/>
  <c r="X39" i="2"/>
  <c r="K60" i="2"/>
  <c r="E61" i="2"/>
  <c r="U61" i="2"/>
  <c r="O70" i="2"/>
  <c r="AE70" i="2"/>
  <c r="P133" i="2"/>
  <c r="H131" i="7" s="1"/>
  <c r="AF133" i="2"/>
  <c r="P131" i="7" s="1"/>
  <c r="P140" i="2"/>
  <c r="AF140" i="2"/>
  <c r="P137" i="7" s="1"/>
  <c r="Z142" i="2"/>
  <c r="M139" i="7" s="1"/>
  <c r="J143" i="2"/>
  <c r="AB143" i="2"/>
  <c r="AB145" i="2"/>
  <c r="J146" i="2"/>
  <c r="AB146" i="2"/>
  <c r="T147" i="2"/>
  <c r="J148" i="2"/>
  <c r="T148" i="2"/>
  <c r="AD148" i="2"/>
  <c r="L7" i="3"/>
  <c r="N85" i="3"/>
  <c r="M144" i="3"/>
  <c r="I53" i="4"/>
  <c r="I52" i="4"/>
  <c r="I51" i="4"/>
  <c r="I50" i="4"/>
  <c r="I49" i="4"/>
  <c r="I48" i="4"/>
  <c r="I47" i="4"/>
  <c r="I46" i="4"/>
  <c r="I45" i="4"/>
  <c r="I80" i="4"/>
  <c r="Y53" i="4"/>
  <c r="Y52" i="4"/>
  <c r="Y51" i="4"/>
  <c r="Y50" i="4"/>
  <c r="Y49" i="4"/>
  <c r="Y48" i="4"/>
  <c r="Y47" i="4"/>
  <c r="Y46" i="4"/>
  <c r="Y45" i="4"/>
  <c r="AE43" i="4"/>
  <c r="AG44" i="4"/>
  <c r="E46" i="4"/>
  <c r="E47" i="4"/>
  <c r="E48" i="4"/>
  <c r="E49" i="4"/>
  <c r="E50" i="4"/>
  <c r="E51" i="4"/>
  <c r="E52" i="4"/>
  <c r="E53" i="4"/>
  <c r="F57" i="4"/>
  <c r="S58" i="4"/>
  <c r="U59" i="4"/>
  <c r="S89" i="4"/>
  <c r="AE44" i="4"/>
  <c r="AE53" i="4"/>
  <c r="AE52" i="4"/>
  <c r="AE51" i="4"/>
  <c r="AE50" i="4"/>
  <c r="AE49" i="4"/>
  <c r="AE48" i="4"/>
  <c r="AE47" i="4"/>
  <c r="AE46" i="4"/>
  <c r="AE45" i="4"/>
  <c r="E252" i="13"/>
  <c r="E87" i="13"/>
  <c r="E58" i="13"/>
  <c r="F252" i="13"/>
  <c r="F87" i="13"/>
  <c r="F58" i="13"/>
  <c r="S60" i="2"/>
  <c r="AC61" i="2"/>
  <c r="W70" i="2"/>
  <c r="G252" i="13"/>
  <c r="G58" i="13"/>
  <c r="G87" i="13"/>
  <c r="O252" i="13"/>
  <c r="O58" i="13"/>
  <c r="O87" i="13"/>
  <c r="H33" i="2"/>
  <c r="P33" i="2"/>
  <c r="X33" i="2"/>
  <c r="AF33" i="2"/>
  <c r="J34" i="2"/>
  <c r="R34" i="2"/>
  <c r="Z34" i="2"/>
  <c r="Q39" i="2"/>
  <c r="E41" i="2"/>
  <c r="M41" i="2"/>
  <c r="U41" i="2"/>
  <c r="AC41" i="2"/>
  <c r="G42" i="2"/>
  <c r="O42" i="2"/>
  <c r="W42" i="2"/>
  <c r="AE42" i="2"/>
  <c r="E48" i="2"/>
  <c r="M48" i="2"/>
  <c r="U48" i="2"/>
  <c r="AC48" i="2"/>
  <c r="G56" i="2"/>
  <c r="O56" i="2"/>
  <c r="W56" i="2"/>
  <c r="AE56" i="2"/>
  <c r="F61" i="2"/>
  <c r="N61" i="2"/>
  <c r="M61" i="2" s="1"/>
  <c r="V61" i="2"/>
  <c r="AD61" i="2"/>
  <c r="K66" i="2"/>
  <c r="S66" i="2"/>
  <c r="AA66" i="2"/>
  <c r="J71" i="2"/>
  <c r="R71" i="2"/>
  <c r="Q71" i="2" s="1"/>
  <c r="Z71" i="2"/>
  <c r="E81" i="2"/>
  <c r="M81" i="2"/>
  <c r="U81" i="2"/>
  <c r="AC81" i="2"/>
  <c r="K101" i="2"/>
  <c r="S101" i="2"/>
  <c r="AA101" i="2"/>
  <c r="G115" i="2"/>
  <c r="O115" i="2"/>
  <c r="W115" i="2"/>
  <c r="AE115" i="2"/>
  <c r="Q116" i="2"/>
  <c r="Y116" i="2"/>
  <c r="E130" i="2"/>
  <c r="M130" i="2"/>
  <c r="U130" i="2"/>
  <c r="AC130" i="2"/>
  <c r="G131" i="2"/>
  <c r="O131" i="2"/>
  <c r="W131" i="2"/>
  <c r="AE131" i="2"/>
  <c r="N141" i="2"/>
  <c r="V141" i="2"/>
  <c r="AD141" i="2"/>
  <c r="L144" i="2"/>
  <c r="AD144" i="2"/>
  <c r="AD146" i="2"/>
  <c r="L147" i="2"/>
  <c r="AD147" i="2"/>
  <c r="E13" i="4"/>
  <c r="E79" i="4" s="1"/>
  <c r="K43" i="4"/>
  <c r="AA43" i="4"/>
  <c r="AG43" i="4"/>
  <c r="H57" i="4"/>
  <c r="F58" i="4"/>
  <c r="V58" i="4"/>
  <c r="V83" i="4" s="1"/>
  <c r="S63" i="4"/>
  <c r="U67" i="4"/>
  <c r="S77" i="4"/>
  <c r="AG80" i="4"/>
  <c r="U83" i="4"/>
  <c r="G2" i="12"/>
  <c r="I2" i="15" s="1"/>
  <c r="A1" i="5"/>
  <c r="B22" i="6"/>
  <c r="K1" i="6"/>
  <c r="D91" i="6" s="1"/>
  <c r="A1" i="7"/>
  <c r="A1" i="8" s="1"/>
  <c r="A1" i="4"/>
  <c r="C1" i="3"/>
  <c r="M32" i="2"/>
  <c r="AC32" i="2"/>
  <c r="O33" i="2"/>
  <c r="AE33" i="2"/>
  <c r="I52" i="2"/>
  <c r="Q52" i="2"/>
  <c r="Y52" i="2"/>
  <c r="AA60" i="2"/>
  <c r="G70" i="2"/>
  <c r="H252" i="13"/>
  <c r="H58" i="13"/>
  <c r="H87" i="13"/>
  <c r="P252" i="13"/>
  <c r="P87" i="13"/>
  <c r="P58" i="13"/>
  <c r="G32" i="2"/>
  <c r="O32" i="2"/>
  <c r="W32" i="2"/>
  <c r="AE32" i="2"/>
  <c r="J39" i="2"/>
  <c r="R39" i="2"/>
  <c r="Z39" i="2"/>
  <c r="L40" i="2"/>
  <c r="AB40" i="2"/>
  <c r="K52" i="2"/>
  <c r="S52" i="2"/>
  <c r="AA52" i="2"/>
  <c r="E60" i="2"/>
  <c r="M60" i="2"/>
  <c r="U60" i="2"/>
  <c r="AC60" i="2"/>
  <c r="I70" i="2"/>
  <c r="Q70" i="2"/>
  <c r="Y70" i="2"/>
  <c r="I91" i="2"/>
  <c r="Q91" i="2"/>
  <c r="Y91" i="2"/>
  <c r="J116" i="2"/>
  <c r="I116" i="2" s="1"/>
  <c r="R116" i="2"/>
  <c r="Z116" i="2"/>
  <c r="J132" i="2"/>
  <c r="R132" i="2"/>
  <c r="Z132" i="2"/>
  <c r="D134" i="2"/>
  <c r="L134" i="2"/>
  <c r="T134" i="2"/>
  <c r="S134" i="2" s="1"/>
  <c r="AB134" i="2"/>
  <c r="H135" i="2"/>
  <c r="D133" i="7" s="1"/>
  <c r="X135" i="2"/>
  <c r="L133" i="7" s="1"/>
  <c r="X148" i="2"/>
  <c r="X145" i="2"/>
  <c r="W145" i="2" s="1"/>
  <c r="J139" i="2"/>
  <c r="E136" i="7" s="1"/>
  <c r="H136" i="8" s="1"/>
  <c r="L628" i="6" s="1"/>
  <c r="Z139" i="2"/>
  <c r="M136" i="7" s="1"/>
  <c r="P136" i="8" s="1"/>
  <c r="J140" i="2"/>
  <c r="R140" i="2"/>
  <c r="Z140" i="2"/>
  <c r="Y140" i="2" s="1"/>
  <c r="AD142" i="2"/>
  <c r="O139" i="7" s="1"/>
  <c r="L143" i="2"/>
  <c r="AE143" i="2"/>
  <c r="V144" i="2"/>
  <c r="L145" i="2"/>
  <c r="AD145" i="2"/>
  <c r="L146" i="2"/>
  <c r="V146" i="2"/>
  <c r="V147" i="2"/>
  <c r="V148" i="2"/>
  <c r="M43" i="4"/>
  <c r="M44" i="4"/>
  <c r="AC43" i="4"/>
  <c r="AC44" i="4"/>
  <c r="AC80" i="4"/>
  <c r="G43" i="4"/>
  <c r="I44" i="4"/>
  <c r="K45" i="4"/>
  <c r="K46" i="4"/>
  <c r="K47" i="4"/>
  <c r="K48" i="4"/>
  <c r="K49" i="4"/>
  <c r="K50" i="4"/>
  <c r="K51" i="4"/>
  <c r="K52" i="4"/>
  <c r="S60" i="4"/>
  <c r="M61" i="4"/>
  <c r="N61" i="4" s="1"/>
  <c r="N65" i="4"/>
  <c r="M9" i="4" s="1"/>
  <c r="M10" i="4" s="1"/>
  <c r="AA77" i="4"/>
  <c r="U78" i="4"/>
  <c r="L82" i="4"/>
  <c r="G49" i="3"/>
  <c r="E44" i="4"/>
  <c r="J57" i="4"/>
  <c r="Z57" i="4"/>
  <c r="AA80" i="4"/>
  <c r="AH82" i="4"/>
  <c r="G312" i="13"/>
  <c r="G314" i="13"/>
  <c r="D867" i="6"/>
  <c r="D883" i="6"/>
  <c r="D879" i="6"/>
  <c r="D876" i="6"/>
  <c r="D873" i="6"/>
  <c r="Q36" i="8"/>
  <c r="W76" i="4"/>
  <c r="AB57" i="4"/>
  <c r="R82" i="4"/>
  <c r="C97" i="4"/>
  <c r="F607" i="6" s="1"/>
  <c r="H607" i="6" s="1"/>
  <c r="F185" i="6"/>
  <c r="D870" i="6"/>
  <c r="L2" i="8"/>
  <c r="L148" i="8" s="1"/>
  <c r="I4" i="5"/>
  <c r="B188" i="13"/>
  <c r="B221" i="13"/>
  <c r="H294" i="13"/>
  <c r="B78" i="13"/>
  <c r="B110" i="13"/>
  <c r="B156" i="13"/>
  <c r="B49" i="13"/>
  <c r="B16" i="13"/>
  <c r="B24" i="13"/>
  <c r="B40" i="13"/>
  <c r="B32" i="13"/>
  <c r="B8" i="13"/>
  <c r="J110" i="13"/>
  <c r="J156" i="13"/>
  <c r="J221" i="13"/>
  <c r="J78" i="13"/>
  <c r="J16" i="13"/>
  <c r="J49" i="13"/>
  <c r="J24" i="13"/>
  <c r="J32" i="13"/>
  <c r="J8" i="13"/>
  <c r="J40" i="13"/>
  <c r="F46" i="8"/>
  <c r="C33" i="13" s="1"/>
  <c r="O59" i="8"/>
  <c r="L37" i="13" s="1"/>
  <c r="D220" i="6"/>
  <c r="D241" i="6"/>
  <c r="D263" i="6"/>
  <c r="D306" i="6"/>
  <c r="D349" i="6"/>
  <c r="E166" i="8"/>
  <c r="E158" i="8"/>
  <c r="E141" i="8"/>
  <c r="E163" i="8"/>
  <c r="E153" i="8"/>
  <c r="E138" i="8"/>
  <c r="E127" i="8"/>
  <c r="F127" i="8" s="1"/>
  <c r="G127" i="8" s="1"/>
  <c r="H127" i="8" s="1"/>
  <c r="I127" i="8" s="1"/>
  <c r="J127" i="8" s="1"/>
  <c r="K127" i="8" s="1"/>
  <c r="E126" i="8"/>
  <c r="F126" i="8" s="1"/>
  <c r="G126" i="8" s="1"/>
  <c r="H126" i="8" s="1"/>
  <c r="I126" i="8" s="1"/>
  <c r="J126" i="8" s="1"/>
  <c r="K126" i="8" s="1"/>
  <c r="E125" i="8"/>
  <c r="E124" i="8"/>
  <c r="F124" i="8" s="1"/>
  <c r="G124" i="8" s="1"/>
  <c r="H124" i="8" s="1"/>
  <c r="I124" i="8" s="1"/>
  <c r="J124" i="8" s="1"/>
  <c r="K124" i="8" s="1"/>
  <c r="E160" i="8"/>
  <c r="E150" i="8"/>
  <c r="G311" i="13" s="1"/>
  <c r="E143" i="8"/>
  <c r="E165" i="8"/>
  <c r="E157" i="8"/>
  <c r="E140" i="8"/>
  <c r="E129" i="8"/>
  <c r="E162" i="8"/>
  <c r="E152" i="8"/>
  <c r="E145" i="8"/>
  <c r="E137" i="8"/>
  <c r="E113" i="8"/>
  <c r="E148" i="8"/>
  <c r="E147" i="8" s="1"/>
  <c r="E110" i="8"/>
  <c r="E101" i="8"/>
  <c r="E92" i="8"/>
  <c r="E84" i="8"/>
  <c r="E76" i="8"/>
  <c r="E142" i="8"/>
  <c r="E117" i="8"/>
  <c r="E107" i="8"/>
  <c r="E97" i="8"/>
  <c r="F97" i="8" s="1"/>
  <c r="G97" i="8" s="1"/>
  <c r="H97" i="8" s="1"/>
  <c r="I97" i="8" s="1"/>
  <c r="J97" i="8" s="1"/>
  <c r="K97" i="8" s="1"/>
  <c r="E161" i="8"/>
  <c r="E111" i="8"/>
  <c r="E103" i="8"/>
  <c r="E94" i="8"/>
  <c r="E86" i="8"/>
  <c r="E78" i="8"/>
  <c r="E151" i="8"/>
  <c r="E118" i="8"/>
  <c r="E99" i="8"/>
  <c r="E91" i="8"/>
  <c r="E83" i="8"/>
  <c r="E75" i="8"/>
  <c r="E67" i="8"/>
  <c r="E102" i="8"/>
  <c r="E72" i="8"/>
  <c r="E70" i="8"/>
  <c r="E69" i="8"/>
  <c r="E164" i="8"/>
  <c r="E144" i="8"/>
  <c r="E108" i="8"/>
  <c r="E85" i="8"/>
  <c r="E81" i="8"/>
  <c r="E79" i="8"/>
  <c r="E73" i="8"/>
  <c r="E105" i="8"/>
  <c r="E93" i="8"/>
  <c r="E89" i="8"/>
  <c r="E87" i="8"/>
  <c r="E128" i="8"/>
  <c r="E95" i="8"/>
  <c r="E64" i="8"/>
  <c r="E104" i="8"/>
  <c r="E88" i="8"/>
  <c r="E82" i="8"/>
  <c r="E159" i="8"/>
  <c r="E56" i="8"/>
  <c r="E48" i="8"/>
  <c r="E39" i="8"/>
  <c r="E22" i="8"/>
  <c r="E14" i="8"/>
  <c r="E80" i="8"/>
  <c r="E65" i="8"/>
  <c r="E53" i="8"/>
  <c r="E45" i="8"/>
  <c r="E36" i="8"/>
  <c r="F36" i="8" s="1"/>
  <c r="G36" i="8" s="1"/>
  <c r="H36" i="8" s="1"/>
  <c r="I36" i="8" s="1"/>
  <c r="J36" i="8" s="1"/>
  <c r="E28" i="8"/>
  <c r="E19" i="8"/>
  <c r="E96" i="8"/>
  <c r="E58" i="8"/>
  <c r="E50" i="8"/>
  <c r="E42" i="8"/>
  <c r="E25" i="8"/>
  <c r="E16" i="8"/>
  <c r="E154" i="8"/>
  <c r="F154" i="8" s="1"/>
  <c r="G154" i="8" s="1"/>
  <c r="H154" i="8" s="1"/>
  <c r="I154" i="8" s="1"/>
  <c r="E98" i="8"/>
  <c r="E68" i="8"/>
  <c r="E62" i="8"/>
  <c r="E55" i="8"/>
  <c r="E47" i="8"/>
  <c r="E30" i="8"/>
  <c r="E21" i="8"/>
  <c r="E13" i="8"/>
  <c r="E109" i="8"/>
  <c r="E74" i="8"/>
  <c r="E71" i="8"/>
  <c r="E66" i="8"/>
  <c r="E63" i="8"/>
  <c r="E61" i="8"/>
  <c r="E52" i="8"/>
  <c r="E44" i="8"/>
  <c r="E35" i="8"/>
  <c r="E27" i="8"/>
  <c r="E18" i="8"/>
  <c r="E54" i="8"/>
  <c r="E46" i="8"/>
  <c r="E51" i="8"/>
  <c r="E26" i="8"/>
  <c r="E49" i="8"/>
  <c r="E17" i="8"/>
  <c r="E11" i="8"/>
  <c r="E59" i="8"/>
  <c r="E29" i="8"/>
  <c r="E8" i="8"/>
  <c r="E57" i="8"/>
  <c r="E20" i="8"/>
  <c r="E34" i="8"/>
  <c r="E9" i="8"/>
  <c r="E23" i="8"/>
  <c r="E77" i="8"/>
  <c r="F77" i="8" s="1"/>
  <c r="G77" i="8" s="1"/>
  <c r="H77" i="8" s="1"/>
  <c r="I77" i="8" s="1"/>
  <c r="J77" i="8" s="1"/>
  <c r="K77" i="8" s="1"/>
  <c r="E43" i="8"/>
  <c r="E15" i="8"/>
  <c r="M113" i="8"/>
  <c r="M109" i="8"/>
  <c r="J19" i="13" s="1"/>
  <c r="M108" i="8"/>
  <c r="J18" i="13" s="1"/>
  <c r="M101" i="8"/>
  <c r="J25" i="13" s="1"/>
  <c r="M107" i="8"/>
  <c r="J17" i="13" s="1"/>
  <c r="M110" i="8"/>
  <c r="J20" i="13" s="1"/>
  <c r="M103" i="8"/>
  <c r="J27" i="13" s="1"/>
  <c r="M117" i="8"/>
  <c r="J84" i="13" s="1"/>
  <c r="M104" i="8"/>
  <c r="J28" i="13" s="1"/>
  <c r="M118" i="8"/>
  <c r="J116" i="13" s="1"/>
  <c r="M102" i="8"/>
  <c r="J26" i="13" s="1"/>
  <c r="M39" i="8"/>
  <c r="M22" i="8"/>
  <c r="M14" i="8"/>
  <c r="M69" i="8"/>
  <c r="J43" i="13" s="1"/>
  <c r="M36" i="8"/>
  <c r="M28" i="8"/>
  <c r="J12" i="13" s="1"/>
  <c r="M19" i="8"/>
  <c r="M25" i="8"/>
  <c r="J9" i="13" s="1"/>
  <c r="M16" i="8"/>
  <c r="M30" i="8"/>
  <c r="M21" i="8"/>
  <c r="M13" i="8"/>
  <c r="M105" i="8"/>
  <c r="J29" i="13" s="1"/>
  <c r="M35" i="8"/>
  <c r="M27" i="8"/>
  <c r="J11" i="13" s="1"/>
  <c r="M18" i="8"/>
  <c r="M59" i="8"/>
  <c r="J37" i="13" s="1"/>
  <c r="M20" i="8"/>
  <c r="M34" i="8"/>
  <c r="M23" i="8"/>
  <c r="M15" i="8"/>
  <c r="M12" i="8"/>
  <c r="M8" i="8"/>
  <c r="J2" i="13" s="1"/>
  <c r="M111" i="8"/>
  <c r="J21" i="13" s="1"/>
  <c r="M40" i="8"/>
  <c r="M26" i="8"/>
  <c r="J10" i="13" s="1"/>
  <c r="M11" i="8"/>
  <c r="M17" i="8"/>
  <c r="E18" i="11"/>
  <c r="E12" i="11"/>
  <c r="D437" i="6"/>
  <c r="D844" i="6"/>
  <c r="F163" i="8"/>
  <c r="G163" i="8" s="1"/>
  <c r="H163" i="8" s="1"/>
  <c r="I163" i="8" s="1"/>
  <c r="J163" i="8" s="1"/>
  <c r="K163" i="8" s="1"/>
  <c r="F138" i="8"/>
  <c r="C227" i="13" s="1"/>
  <c r="F160" i="8"/>
  <c r="G160" i="8" s="1"/>
  <c r="H160" i="8" s="1"/>
  <c r="I160" i="8" s="1"/>
  <c r="J160" i="8" s="1"/>
  <c r="K160" i="8" s="1"/>
  <c r="F150" i="8"/>
  <c r="G150" i="8" s="1"/>
  <c r="H150" i="8" s="1"/>
  <c r="I150" i="8" s="1"/>
  <c r="F143" i="8"/>
  <c r="F110" i="8"/>
  <c r="C20" i="13" s="1"/>
  <c r="F157" i="8"/>
  <c r="F140" i="8"/>
  <c r="F129" i="8"/>
  <c r="G129" i="8" s="1"/>
  <c r="H129" i="8" s="1"/>
  <c r="I129" i="8" s="1"/>
  <c r="J129" i="8" s="1"/>
  <c r="K129" i="8" s="1"/>
  <c r="F162" i="8"/>
  <c r="G162" i="8" s="1"/>
  <c r="H162" i="8" s="1"/>
  <c r="I162" i="8" s="1"/>
  <c r="J162" i="8" s="1"/>
  <c r="K162" i="8" s="1"/>
  <c r="F152" i="8"/>
  <c r="F147" i="8"/>
  <c r="G147" i="8" s="1"/>
  <c r="H147" i="8" s="1"/>
  <c r="I147" i="8" s="1"/>
  <c r="J147" i="8" s="1"/>
  <c r="K147" i="8" s="1"/>
  <c r="F145" i="8"/>
  <c r="F137" i="8"/>
  <c r="F159" i="8"/>
  <c r="F142" i="8"/>
  <c r="F131" i="8"/>
  <c r="F109" i="8"/>
  <c r="C19" i="13" s="1"/>
  <c r="F117" i="8"/>
  <c r="C84" i="13" s="1"/>
  <c r="F107" i="8"/>
  <c r="C17" i="13" s="1"/>
  <c r="F89" i="8"/>
  <c r="C45" i="13" s="1"/>
  <c r="F73" i="8"/>
  <c r="G73" i="8" s="1"/>
  <c r="H73" i="8" s="1"/>
  <c r="I73" i="8" s="1"/>
  <c r="J73" i="8" s="1"/>
  <c r="K73" i="8" s="1"/>
  <c r="F161" i="8"/>
  <c r="F141" i="8"/>
  <c r="F111" i="8"/>
  <c r="C21" i="13" s="1"/>
  <c r="F103" i="8"/>
  <c r="C27" i="13" s="1"/>
  <c r="F151" i="8"/>
  <c r="G151" i="8" s="1"/>
  <c r="H151" i="8" s="1"/>
  <c r="I151" i="8" s="1"/>
  <c r="F118" i="8"/>
  <c r="C116" i="13" s="1"/>
  <c r="F99" i="8"/>
  <c r="C46" i="13" s="1"/>
  <c r="F91" i="8"/>
  <c r="F75" i="8"/>
  <c r="F164" i="8"/>
  <c r="G164" i="8" s="1"/>
  <c r="H164" i="8" s="1"/>
  <c r="I164" i="8" s="1"/>
  <c r="J164" i="8" s="1"/>
  <c r="K164" i="8" s="1"/>
  <c r="F144" i="8"/>
  <c r="F113" i="8"/>
  <c r="F105" i="8"/>
  <c r="C29" i="13" s="1"/>
  <c r="F96" i="8"/>
  <c r="G96" i="8" s="1"/>
  <c r="H96" i="8" s="1"/>
  <c r="I96" i="8" s="1"/>
  <c r="J96" i="8" s="1"/>
  <c r="K96" i="8" s="1"/>
  <c r="F88" i="8"/>
  <c r="F80" i="8"/>
  <c r="F72" i="8"/>
  <c r="F68" i="8"/>
  <c r="C42" i="13" s="1"/>
  <c r="F158" i="8"/>
  <c r="G158" i="8" s="1"/>
  <c r="H158" i="8" s="1"/>
  <c r="I158" i="8" s="1"/>
  <c r="J158" i="8" s="1"/>
  <c r="K158" i="8" s="1"/>
  <c r="F101" i="8"/>
  <c r="C25" i="13" s="1"/>
  <c r="F93" i="8"/>
  <c r="F125" i="8"/>
  <c r="F139" i="8"/>
  <c r="G139" i="8" s="1"/>
  <c r="F98" i="8"/>
  <c r="F90" i="8"/>
  <c r="F84" i="8"/>
  <c r="G84" i="8" s="1"/>
  <c r="H84" i="8" s="1"/>
  <c r="I84" i="8" s="1"/>
  <c r="J84" i="8" s="1"/>
  <c r="K84" i="8" s="1"/>
  <c r="F71" i="8"/>
  <c r="G71" i="8" s="1"/>
  <c r="H71" i="8" s="1"/>
  <c r="I71" i="8" s="1"/>
  <c r="J71" i="8" s="1"/>
  <c r="K71" i="8" s="1"/>
  <c r="F102" i="8"/>
  <c r="C26" i="13" s="1"/>
  <c r="F82" i="8"/>
  <c r="F65" i="8"/>
  <c r="F28" i="8"/>
  <c r="C12" i="13" s="1"/>
  <c r="F19" i="8"/>
  <c r="F11" i="8"/>
  <c r="F104" i="8"/>
  <c r="C28" i="13" s="1"/>
  <c r="F58" i="8"/>
  <c r="C36" i="13" s="1"/>
  <c r="F50" i="8"/>
  <c r="C34" i="13" s="1"/>
  <c r="F42" i="8"/>
  <c r="F25" i="8"/>
  <c r="C9" i="13" s="1"/>
  <c r="F16" i="8"/>
  <c r="F62" i="8"/>
  <c r="G62" i="8" s="1"/>
  <c r="H62" i="8" s="1"/>
  <c r="I62" i="8" s="1"/>
  <c r="J62" i="8" s="1"/>
  <c r="K62" i="8" s="1"/>
  <c r="F55" i="8"/>
  <c r="F47" i="8"/>
  <c r="F30" i="8"/>
  <c r="F21" i="8"/>
  <c r="F13" i="8"/>
  <c r="F94" i="8"/>
  <c r="F61" i="8"/>
  <c r="F52" i="8"/>
  <c r="F44" i="8"/>
  <c r="F35" i="8"/>
  <c r="F27" i="8"/>
  <c r="C11" i="13" s="1"/>
  <c r="F18" i="8"/>
  <c r="F9" i="8"/>
  <c r="F92" i="8"/>
  <c r="F70" i="8"/>
  <c r="F57" i="8"/>
  <c r="G57" i="8" s="1"/>
  <c r="H57" i="8" s="1"/>
  <c r="I57" i="8" s="1"/>
  <c r="J57" i="8" s="1"/>
  <c r="K57" i="8" s="1"/>
  <c r="F49" i="8"/>
  <c r="G49" i="8" s="1"/>
  <c r="H49" i="8" s="1"/>
  <c r="I49" i="8" s="1"/>
  <c r="J49" i="8" s="1"/>
  <c r="K49" i="8" s="1"/>
  <c r="F40" i="8"/>
  <c r="F23" i="8"/>
  <c r="F15" i="8"/>
  <c r="F79" i="8"/>
  <c r="C44" i="13" s="1"/>
  <c r="F51" i="8"/>
  <c r="F43" i="8"/>
  <c r="F34" i="8"/>
  <c r="F108" i="8"/>
  <c r="C18" i="13" s="1"/>
  <c r="F56" i="8"/>
  <c r="F17" i="8"/>
  <c r="F64" i="8"/>
  <c r="C41" i="13" s="1"/>
  <c r="F54" i="8"/>
  <c r="C35" i="13" s="1"/>
  <c r="F29" i="8"/>
  <c r="C13" i="13" s="1"/>
  <c r="F8" i="8"/>
  <c r="C2" i="13" s="1"/>
  <c r="F20" i="8"/>
  <c r="F39" i="8"/>
  <c r="F31" i="8"/>
  <c r="C5" i="13" s="1"/>
  <c r="F22" i="8"/>
  <c r="F1" i="8"/>
  <c r="C1" i="13" s="1"/>
  <c r="F14" i="8"/>
  <c r="F12" i="8"/>
  <c r="N110" i="8"/>
  <c r="K20" i="13" s="1"/>
  <c r="N140" i="8"/>
  <c r="O140" i="8" s="1"/>
  <c r="N137" i="8"/>
  <c r="O137" i="8" s="1"/>
  <c r="N142" i="8"/>
  <c r="N131" i="8"/>
  <c r="N109" i="8"/>
  <c r="K19" i="13" s="1"/>
  <c r="N107" i="8"/>
  <c r="K17" i="13" s="1"/>
  <c r="N89" i="8"/>
  <c r="K45" i="13" s="1"/>
  <c r="N103" i="8"/>
  <c r="K27" i="13" s="1"/>
  <c r="N117" i="8"/>
  <c r="K84" i="13" s="1"/>
  <c r="N99" i="8"/>
  <c r="K46" i="13" s="1"/>
  <c r="N111" i="8"/>
  <c r="K21" i="13" s="1"/>
  <c r="N105" i="8"/>
  <c r="K29" i="13" s="1"/>
  <c r="N80" i="8"/>
  <c r="N64" i="8"/>
  <c r="K41" i="13" s="1"/>
  <c r="N113" i="8"/>
  <c r="N70" i="8"/>
  <c r="O70" i="8" s="1"/>
  <c r="P70" i="8" s="1"/>
  <c r="Q70" i="8" s="1"/>
  <c r="R70" i="8" s="1"/>
  <c r="S70" i="8" s="1"/>
  <c r="N118" i="8"/>
  <c r="K116" i="13" s="1"/>
  <c r="N102" i="8"/>
  <c r="K26" i="13" s="1"/>
  <c r="N79" i="8"/>
  <c r="K44" i="13" s="1"/>
  <c r="N108" i="8"/>
  <c r="K18" i="13" s="1"/>
  <c r="N101" i="8"/>
  <c r="K25" i="13" s="1"/>
  <c r="N104" i="8"/>
  <c r="K28" i="13" s="1"/>
  <c r="N36" i="8"/>
  <c r="N28" i="8"/>
  <c r="K12" i="13" s="1"/>
  <c r="N19" i="8"/>
  <c r="N11" i="8"/>
  <c r="O11" i="8" s="1"/>
  <c r="P11" i="8" s="1"/>
  <c r="Q11" i="8" s="1"/>
  <c r="R11" i="8" s="1"/>
  <c r="S11" i="8" s="1"/>
  <c r="N58" i="8"/>
  <c r="K36" i="13" s="1"/>
  <c r="N50" i="8"/>
  <c r="K34" i="13" s="1"/>
  <c r="N42" i="8"/>
  <c r="N25" i="8"/>
  <c r="K9" i="13" s="1"/>
  <c r="N16" i="8"/>
  <c r="O16" i="8" s="1"/>
  <c r="P16" i="8" s="1"/>
  <c r="Q16" i="8" s="1"/>
  <c r="R16" i="8" s="1"/>
  <c r="S16" i="8" s="1"/>
  <c r="N55" i="8"/>
  <c r="N47" i="8"/>
  <c r="N30" i="8"/>
  <c r="N21" i="8"/>
  <c r="N13" i="8"/>
  <c r="N90" i="8"/>
  <c r="N65" i="8"/>
  <c r="O65" i="8" s="1"/>
  <c r="P65" i="8" s="1"/>
  <c r="Q65" i="8" s="1"/>
  <c r="R65" i="8" s="1"/>
  <c r="S65" i="8" s="1"/>
  <c r="N35" i="8"/>
  <c r="N27" i="8"/>
  <c r="K11" i="13" s="1"/>
  <c r="N18" i="8"/>
  <c r="N9" i="8"/>
  <c r="N61" i="8"/>
  <c r="N40" i="8"/>
  <c r="N23" i="8"/>
  <c r="N15" i="8"/>
  <c r="N51" i="8"/>
  <c r="N34" i="8"/>
  <c r="N31" i="8"/>
  <c r="K5" i="13" s="1"/>
  <c r="N39" i="8"/>
  <c r="N22" i="8"/>
  <c r="O22" i="8" s="1"/>
  <c r="P22" i="8" s="1"/>
  <c r="Q22" i="8" s="1"/>
  <c r="R22" i="8" s="1"/>
  <c r="S22" i="8" s="1"/>
  <c r="N12" i="8"/>
  <c r="N68" i="8"/>
  <c r="K42" i="13" s="1"/>
  <c r="N14" i="8"/>
  <c r="N8" i="8"/>
  <c r="K2" i="13" s="1"/>
  <c r="N26" i="8"/>
  <c r="K10" i="13" s="1"/>
  <c r="N46" i="8"/>
  <c r="K33" i="13" s="1"/>
  <c r="N17" i="8"/>
  <c r="O17" i="8" s="1"/>
  <c r="P17" i="8" s="1"/>
  <c r="Q17" i="8" s="1"/>
  <c r="R17" i="8" s="1"/>
  <c r="S17" i="8" s="1"/>
  <c r="N1" i="8"/>
  <c r="K1" i="13" s="1"/>
  <c r="N29" i="8"/>
  <c r="K13" i="13" s="1"/>
  <c r="B2" i="8"/>
  <c r="F26" i="8"/>
  <c r="C10" i="13" s="1"/>
  <c r="G143" i="8"/>
  <c r="G157" i="8"/>
  <c r="H157" i="8" s="1"/>
  <c r="I157" i="8" s="1"/>
  <c r="J157" i="8" s="1"/>
  <c r="K157" i="8" s="1"/>
  <c r="G140" i="8"/>
  <c r="G117" i="8"/>
  <c r="D84" i="13" s="1"/>
  <c r="G152" i="8"/>
  <c r="H152" i="8" s="1"/>
  <c r="I152" i="8" s="1"/>
  <c r="G145" i="8"/>
  <c r="G137" i="8"/>
  <c r="G159" i="8"/>
  <c r="H159" i="8" s="1"/>
  <c r="I159" i="8" s="1"/>
  <c r="J159" i="8" s="1"/>
  <c r="K159" i="8" s="1"/>
  <c r="G142" i="8"/>
  <c r="G161" i="8"/>
  <c r="H161" i="8" s="1"/>
  <c r="I161" i="8" s="1"/>
  <c r="J161" i="8" s="1"/>
  <c r="K161" i="8" s="1"/>
  <c r="G141" i="8"/>
  <c r="G111" i="8"/>
  <c r="D21" i="13" s="1"/>
  <c r="G103" i="8"/>
  <c r="D27" i="13" s="1"/>
  <c r="G94" i="8"/>
  <c r="H94" i="8" s="1"/>
  <c r="I94" i="8" s="1"/>
  <c r="J94" i="8" s="1"/>
  <c r="K94" i="8" s="1"/>
  <c r="G133" i="8"/>
  <c r="G118" i="8"/>
  <c r="D116" i="13" s="1"/>
  <c r="G99" i="8"/>
  <c r="D46" i="13" s="1"/>
  <c r="G144" i="8"/>
  <c r="G113" i="8"/>
  <c r="G105" i="8"/>
  <c r="D29" i="13" s="1"/>
  <c r="G88" i="8"/>
  <c r="H88" i="8" s="1"/>
  <c r="I88" i="8" s="1"/>
  <c r="J88" i="8" s="1"/>
  <c r="K88" i="8" s="1"/>
  <c r="G80" i="8"/>
  <c r="G102" i="8"/>
  <c r="D26" i="13" s="1"/>
  <c r="G93" i="8"/>
  <c r="G69" i="8"/>
  <c r="D43" i="13" s="1"/>
  <c r="G138" i="8"/>
  <c r="D227" i="13" s="1"/>
  <c r="G109" i="8"/>
  <c r="D19" i="13" s="1"/>
  <c r="G108" i="8"/>
  <c r="D18" i="13" s="1"/>
  <c r="G79" i="8"/>
  <c r="D44" i="13" s="1"/>
  <c r="G75" i="8"/>
  <c r="G125" i="8"/>
  <c r="H125" i="8" s="1"/>
  <c r="I125" i="8" s="1"/>
  <c r="J125" i="8" s="1"/>
  <c r="K125" i="8" s="1"/>
  <c r="G110" i="8"/>
  <c r="D20" i="13" s="1"/>
  <c r="G107" i="8"/>
  <c r="D17" i="13" s="1"/>
  <c r="G91" i="8"/>
  <c r="H91" i="8" s="1"/>
  <c r="I91" i="8" s="1"/>
  <c r="J91" i="8" s="1"/>
  <c r="K91" i="8" s="1"/>
  <c r="G89" i="8"/>
  <c r="D45" i="13" s="1"/>
  <c r="G114" i="8"/>
  <c r="D54" i="13" s="1"/>
  <c r="G98" i="8"/>
  <c r="H98" i="8" s="1"/>
  <c r="I98" i="8" s="1"/>
  <c r="J98" i="8" s="1"/>
  <c r="K98" i="8" s="1"/>
  <c r="G104" i="8"/>
  <c r="D28" i="13" s="1"/>
  <c r="G82" i="8"/>
  <c r="G92" i="8"/>
  <c r="H92" i="8" s="1"/>
  <c r="I92" i="8" s="1"/>
  <c r="J92" i="8" s="1"/>
  <c r="K92" i="8" s="1"/>
  <c r="G70" i="8"/>
  <c r="G58" i="8"/>
  <c r="D36" i="13" s="1"/>
  <c r="G50" i="8"/>
  <c r="D34" i="13" s="1"/>
  <c r="G42" i="8"/>
  <c r="G25" i="8"/>
  <c r="D9" i="13" s="1"/>
  <c r="G16" i="8"/>
  <c r="G55" i="8"/>
  <c r="G47" i="8"/>
  <c r="G30" i="8"/>
  <c r="G21" i="8"/>
  <c r="G68" i="8"/>
  <c r="D42" i="13" s="1"/>
  <c r="G61" i="8"/>
  <c r="G52" i="8"/>
  <c r="H52" i="8" s="1"/>
  <c r="I52" i="8" s="1"/>
  <c r="J52" i="8" s="1"/>
  <c r="K52" i="8" s="1"/>
  <c r="G44" i="8"/>
  <c r="H44" i="8" s="1"/>
  <c r="I44" i="8" s="1"/>
  <c r="J44" i="8" s="1"/>
  <c r="K44" i="8" s="1"/>
  <c r="G35" i="8"/>
  <c r="G27" i="8"/>
  <c r="D11" i="13" s="1"/>
  <c r="G18" i="8"/>
  <c r="G9" i="8"/>
  <c r="G40" i="8"/>
  <c r="G23" i="8"/>
  <c r="G15" i="8"/>
  <c r="G101" i="8"/>
  <c r="D25" i="13" s="1"/>
  <c r="G90" i="8"/>
  <c r="G64" i="8"/>
  <c r="D41" i="13" s="1"/>
  <c r="G54" i="8"/>
  <c r="D35" i="13" s="1"/>
  <c r="G46" i="8"/>
  <c r="D33" i="13" s="1"/>
  <c r="G29" i="8"/>
  <c r="D13" i="13" s="1"/>
  <c r="G20" i="8"/>
  <c r="G12" i="8"/>
  <c r="G72" i="8"/>
  <c r="H72" i="8" s="1"/>
  <c r="I72" i="8" s="1"/>
  <c r="J72" i="8" s="1"/>
  <c r="K72" i="8" s="1"/>
  <c r="G56" i="8"/>
  <c r="H56" i="8" s="1"/>
  <c r="I56" i="8" s="1"/>
  <c r="J56" i="8" s="1"/>
  <c r="K56" i="8" s="1"/>
  <c r="G39" i="8"/>
  <c r="G11" i="8"/>
  <c r="G8" i="8"/>
  <c r="D2" i="13" s="1"/>
  <c r="G59" i="8"/>
  <c r="D37" i="13" s="1"/>
  <c r="G28" i="8"/>
  <c r="D12" i="13" s="1"/>
  <c r="G19" i="8"/>
  <c r="G34" i="8"/>
  <c r="G22" i="8"/>
  <c r="G1" i="8"/>
  <c r="D1" i="13" s="1"/>
  <c r="G43" i="8"/>
  <c r="H43" i="8" s="1"/>
  <c r="I43" i="8" s="1"/>
  <c r="J43" i="8" s="1"/>
  <c r="K43" i="8" s="1"/>
  <c r="G14" i="8"/>
  <c r="G13" i="8"/>
  <c r="G65" i="8"/>
  <c r="G26" i="8"/>
  <c r="D10" i="13" s="1"/>
  <c r="O103" i="8"/>
  <c r="L27" i="13" s="1"/>
  <c r="O110" i="8"/>
  <c r="L20" i="13" s="1"/>
  <c r="O111" i="8"/>
  <c r="L21" i="13" s="1"/>
  <c r="O105" i="8"/>
  <c r="L29" i="13" s="1"/>
  <c r="O80" i="8"/>
  <c r="P80" i="8" s="1"/>
  <c r="Q80" i="8" s="1"/>
  <c r="R80" i="8" s="1"/>
  <c r="S80" i="8" s="1"/>
  <c r="O118" i="8"/>
  <c r="L116" i="13" s="1"/>
  <c r="O102" i="8"/>
  <c r="L26" i="13" s="1"/>
  <c r="O69" i="8"/>
  <c r="L43" i="13" s="1"/>
  <c r="O133" i="8"/>
  <c r="O104" i="8"/>
  <c r="L28" i="13" s="1"/>
  <c r="O90" i="8"/>
  <c r="P90" i="8" s="1"/>
  <c r="Q90" i="8" s="1"/>
  <c r="R90" i="8" s="1"/>
  <c r="S90" i="8" s="1"/>
  <c r="O109" i="8"/>
  <c r="L19" i="13" s="1"/>
  <c r="O107" i="8"/>
  <c r="L17" i="13" s="1"/>
  <c r="O114" i="8"/>
  <c r="L54" i="13" s="1"/>
  <c r="O50" i="8"/>
  <c r="L34" i="13" s="1"/>
  <c r="O42" i="8"/>
  <c r="P42" i="8" s="1"/>
  <c r="Q42" i="8" s="1"/>
  <c r="R42" i="8" s="1"/>
  <c r="S42" i="8" s="1"/>
  <c r="O25" i="8"/>
  <c r="L9" i="13" s="1"/>
  <c r="O55" i="8"/>
  <c r="P55" i="8" s="1"/>
  <c r="Q55" i="8" s="1"/>
  <c r="R55" i="8" s="1"/>
  <c r="S55" i="8" s="1"/>
  <c r="O47" i="8"/>
  <c r="P47" i="8" s="1"/>
  <c r="Q47" i="8" s="1"/>
  <c r="R47" i="8" s="1"/>
  <c r="S47" i="8" s="1"/>
  <c r="O30" i="8"/>
  <c r="O21" i="8"/>
  <c r="O13" i="8"/>
  <c r="P13" i="8" s="1"/>
  <c r="Q13" i="8" s="1"/>
  <c r="R13" i="8" s="1"/>
  <c r="S13" i="8" s="1"/>
  <c r="O113" i="8"/>
  <c r="O101" i="8"/>
  <c r="L25" i="13" s="1"/>
  <c r="O35" i="8"/>
  <c r="O27" i="8"/>
  <c r="L11" i="13" s="1"/>
  <c r="O18" i="8"/>
  <c r="O9" i="8"/>
  <c r="O61" i="8"/>
  <c r="P61" i="8" s="1"/>
  <c r="Q61" i="8" s="1"/>
  <c r="R61" i="8" s="1"/>
  <c r="S61" i="8" s="1"/>
  <c r="O40" i="8"/>
  <c r="O23" i="8"/>
  <c r="P23" i="8" s="1"/>
  <c r="Q23" i="8" s="1"/>
  <c r="R23" i="8" s="1"/>
  <c r="S23" i="8" s="1"/>
  <c r="O15" i="8"/>
  <c r="O54" i="8"/>
  <c r="L35" i="13" s="1"/>
  <c r="O29" i="8"/>
  <c r="L13" i="13" s="1"/>
  <c r="O12" i="8"/>
  <c r="O39" i="8"/>
  <c r="P39" i="8" s="1"/>
  <c r="Q39" i="8" s="1"/>
  <c r="R39" i="8" s="1"/>
  <c r="S39" i="8" s="1"/>
  <c r="O64" i="8"/>
  <c r="L41" i="13" s="1"/>
  <c r="O36" i="8"/>
  <c r="O34" i="8"/>
  <c r="O14" i="8"/>
  <c r="O8" i="8"/>
  <c r="L2" i="13" s="1"/>
  <c r="O26" i="8"/>
  <c r="L10" i="13" s="1"/>
  <c r="O1" i="8"/>
  <c r="L1" i="13" s="1"/>
  <c r="O51" i="8"/>
  <c r="P51" i="8" s="1"/>
  <c r="Q51" i="8" s="1"/>
  <c r="R51" i="8" s="1"/>
  <c r="S51" i="8" s="1"/>
  <c r="O28" i="8"/>
  <c r="L12" i="13" s="1"/>
  <c r="J131" i="8"/>
  <c r="J144" i="8"/>
  <c r="J113" i="8"/>
  <c r="J102" i="8"/>
  <c r="G26" i="13" s="1"/>
  <c r="J104" i="8"/>
  <c r="G28" i="13" s="1"/>
  <c r="J109" i="8"/>
  <c r="G19" i="13" s="1"/>
  <c r="J108" i="8"/>
  <c r="G18" i="13" s="1"/>
  <c r="J101" i="8"/>
  <c r="G25" i="13" s="1"/>
  <c r="J68" i="8"/>
  <c r="G42" i="13" s="1"/>
  <c r="J105" i="8"/>
  <c r="G29" i="13" s="1"/>
  <c r="J70" i="8"/>
  <c r="J117" i="8"/>
  <c r="G84" i="13" s="1"/>
  <c r="J103" i="8"/>
  <c r="G27" i="13" s="1"/>
  <c r="J118" i="8"/>
  <c r="G116" i="13" s="1"/>
  <c r="J110" i="8"/>
  <c r="G20" i="13" s="1"/>
  <c r="J40" i="8"/>
  <c r="J23" i="8"/>
  <c r="J15" i="8"/>
  <c r="J107" i="8"/>
  <c r="G17" i="13" s="1"/>
  <c r="J54" i="8"/>
  <c r="G35" i="13" s="1"/>
  <c r="J46" i="8"/>
  <c r="G33" i="13" s="1"/>
  <c r="J37" i="8"/>
  <c r="J29" i="8"/>
  <c r="G13" i="13" s="1"/>
  <c r="J20" i="8"/>
  <c r="J51" i="8"/>
  <c r="J34" i="8"/>
  <c r="J26" i="8"/>
  <c r="G10" i="13" s="1"/>
  <c r="J17" i="8"/>
  <c r="J8" i="8"/>
  <c r="G2" i="13" s="1"/>
  <c r="J39" i="8"/>
  <c r="J31" i="8"/>
  <c r="G5" i="13" s="1"/>
  <c r="J22" i="8"/>
  <c r="J14" i="8"/>
  <c r="J28" i="8"/>
  <c r="G12" i="13" s="1"/>
  <c r="J19" i="8"/>
  <c r="J11" i="8"/>
  <c r="J111" i="8"/>
  <c r="G21" i="13" s="1"/>
  <c r="J38" i="8"/>
  <c r="J18" i="8"/>
  <c r="J30" i="8"/>
  <c r="J1" i="8"/>
  <c r="G1" i="13" s="1"/>
  <c r="J21" i="8"/>
  <c r="J9" i="8"/>
  <c r="J13" i="8"/>
  <c r="J25" i="8"/>
  <c r="G9" i="13" s="1"/>
  <c r="J16" i="8"/>
  <c r="J12" i="8"/>
  <c r="J35" i="8"/>
  <c r="G17" i="8"/>
  <c r="J27" i="8"/>
  <c r="G11" i="13" s="1"/>
  <c r="K133" i="8"/>
  <c r="K111" i="8"/>
  <c r="H21" i="13" s="1"/>
  <c r="K141" i="8"/>
  <c r="K138" i="8"/>
  <c r="H227" i="13" s="1"/>
  <c r="K143" i="8"/>
  <c r="K110" i="8"/>
  <c r="H20" i="13" s="1"/>
  <c r="K90" i="8"/>
  <c r="K114" i="8"/>
  <c r="H54" i="13" s="1"/>
  <c r="K104" i="8"/>
  <c r="H28" i="13" s="1"/>
  <c r="K109" i="8"/>
  <c r="H19" i="13" s="1"/>
  <c r="K108" i="8"/>
  <c r="H18" i="13" s="1"/>
  <c r="K101" i="8"/>
  <c r="H25" i="13" s="1"/>
  <c r="K107" i="8"/>
  <c r="H17" i="13" s="1"/>
  <c r="K89" i="8"/>
  <c r="H45" i="13" s="1"/>
  <c r="K65" i="8"/>
  <c r="K99" i="8"/>
  <c r="H46" i="13" s="1"/>
  <c r="K113" i="8"/>
  <c r="K80" i="8"/>
  <c r="K117" i="8"/>
  <c r="H84" i="13" s="1"/>
  <c r="K103" i="8"/>
  <c r="H27" i="13" s="1"/>
  <c r="K68" i="8"/>
  <c r="H42" i="13" s="1"/>
  <c r="K102" i="8"/>
  <c r="H26" i="13" s="1"/>
  <c r="K79" i="8"/>
  <c r="H44" i="13" s="1"/>
  <c r="K118" i="8"/>
  <c r="H116" i="13" s="1"/>
  <c r="K54" i="8"/>
  <c r="H35" i="13" s="1"/>
  <c r="K46" i="8"/>
  <c r="H33" i="13" s="1"/>
  <c r="K37" i="8"/>
  <c r="K29" i="8"/>
  <c r="H13" i="13" s="1"/>
  <c r="K20" i="8"/>
  <c r="K12" i="8"/>
  <c r="K64" i="8"/>
  <c r="H41" i="13" s="1"/>
  <c r="K59" i="8"/>
  <c r="H37" i="13" s="1"/>
  <c r="K51" i="8"/>
  <c r="K34" i="8"/>
  <c r="K26" i="8"/>
  <c r="H10" i="13" s="1"/>
  <c r="K17" i="8"/>
  <c r="K140" i="8"/>
  <c r="K70" i="8"/>
  <c r="K39" i="8"/>
  <c r="K22" i="8"/>
  <c r="K14" i="8"/>
  <c r="K69" i="8"/>
  <c r="H43" i="13" s="1"/>
  <c r="K36" i="8"/>
  <c r="K28" i="8"/>
  <c r="H12" i="13" s="1"/>
  <c r="K19" i="8"/>
  <c r="K11" i="8"/>
  <c r="K131" i="8"/>
  <c r="K58" i="8"/>
  <c r="H36" i="13" s="1"/>
  <c r="K50" i="8"/>
  <c r="H34" i="13" s="1"/>
  <c r="K42" i="8"/>
  <c r="K25" i="8"/>
  <c r="H9" i="13" s="1"/>
  <c r="K16" i="8"/>
  <c r="K35" i="8"/>
  <c r="K30" i="8"/>
  <c r="K1" i="8"/>
  <c r="H1" i="13" s="1"/>
  <c r="K105" i="8"/>
  <c r="H29" i="13" s="1"/>
  <c r="K47" i="8"/>
  <c r="K21" i="8"/>
  <c r="K9" i="8"/>
  <c r="K13" i="8"/>
  <c r="K55" i="8"/>
  <c r="K61" i="8"/>
  <c r="K23" i="8"/>
  <c r="K15" i="8"/>
  <c r="K40" i="8"/>
  <c r="K27" i="8"/>
  <c r="H11" i="13" s="1"/>
  <c r="K8" i="8"/>
  <c r="H2" i="13" s="1"/>
  <c r="M9" i="8"/>
  <c r="K18" i="8"/>
  <c r="E40" i="8"/>
  <c r="N54" i="8"/>
  <c r="K35" i="13" s="1"/>
  <c r="D242" i="6"/>
  <c r="D439" i="6"/>
  <c r="E592" i="6"/>
  <c r="H628" i="6" s="1"/>
  <c r="I109" i="8"/>
  <c r="F19" i="13" s="1"/>
  <c r="I118" i="8"/>
  <c r="F116" i="13" s="1"/>
  <c r="I108" i="8"/>
  <c r="F18" i="13" s="1"/>
  <c r="I105" i="8"/>
  <c r="F29" i="13" s="1"/>
  <c r="I80" i="8"/>
  <c r="J80" i="8" s="1"/>
  <c r="I113" i="8"/>
  <c r="I102" i="8"/>
  <c r="F26" i="13" s="1"/>
  <c r="I90" i="8"/>
  <c r="J90" i="8" s="1"/>
  <c r="I82" i="8"/>
  <c r="J82" i="8" s="1"/>
  <c r="K82" i="8" s="1"/>
  <c r="I104" i="8"/>
  <c r="F28" i="13" s="1"/>
  <c r="I79" i="8"/>
  <c r="F44" i="13" s="1"/>
  <c r="I110" i="8"/>
  <c r="F20" i="13" s="1"/>
  <c r="I107" i="8"/>
  <c r="F17" i="13" s="1"/>
  <c r="I89" i="8"/>
  <c r="F45" i="13" s="1"/>
  <c r="I64" i="8"/>
  <c r="F41" i="13" s="1"/>
  <c r="I111" i="8"/>
  <c r="F21" i="13" s="1"/>
  <c r="I99" i="8"/>
  <c r="F46" i="13" s="1"/>
  <c r="I70" i="8"/>
  <c r="I68" i="8"/>
  <c r="F42" i="13" s="1"/>
  <c r="I61" i="8"/>
  <c r="J61" i="8" s="1"/>
  <c r="I35" i="8"/>
  <c r="I27" i="8"/>
  <c r="F11" i="13" s="1"/>
  <c r="I18" i="8"/>
  <c r="I9" i="8"/>
  <c r="I40" i="8"/>
  <c r="I23" i="8"/>
  <c r="I15" i="8"/>
  <c r="I54" i="8"/>
  <c r="F35" i="13" s="1"/>
  <c r="I46" i="8"/>
  <c r="F33" i="13" s="1"/>
  <c r="I37" i="8"/>
  <c r="I29" i="8"/>
  <c r="F13" i="13" s="1"/>
  <c r="I20" i="8"/>
  <c r="I12" i="8"/>
  <c r="I117" i="8"/>
  <c r="F84" i="13" s="1"/>
  <c r="I101" i="8"/>
  <c r="F25" i="13" s="1"/>
  <c r="I59" i="8"/>
  <c r="F37" i="13" s="1"/>
  <c r="I51" i="8"/>
  <c r="I34" i="8"/>
  <c r="I26" i="8"/>
  <c r="F10" i="13" s="1"/>
  <c r="I17" i="8"/>
  <c r="I8" i="8"/>
  <c r="F2" i="13" s="1"/>
  <c r="I103" i="8"/>
  <c r="F27" i="13" s="1"/>
  <c r="I69" i="8"/>
  <c r="F43" i="13" s="1"/>
  <c r="I39" i="8"/>
  <c r="I22" i="8"/>
  <c r="I14" i="8"/>
  <c r="I65" i="8"/>
  <c r="J65" i="8" s="1"/>
  <c r="I58" i="8"/>
  <c r="F36" i="13" s="1"/>
  <c r="I50" i="8"/>
  <c r="F34" i="13" s="1"/>
  <c r="I42" i="8"/>
  <c r="J42" i="8" s="1"/>
  <c r="I19" i="8"/>
  <c r="I47" i="8"/>
  <c r="J47" i="8" s="1"/>
  <c r="I30" i="8"/>
  <c r="I1" i="8"/>
  <c r="F1" i="13" s="1"/>
  <c r="I21" i="8"/>
  <c r="I55" i="8"/>
  <c r="J55" i="8" s="1"/>
  <c r="I13" i="8"/>
  <c r="I25" i="8"/>
  <c r="F9" i="13" s="1"/>
  <c r="I16" i="8"/>
  <c r="I11" i="8"/>
  <c r="Q109" i="8"/>
  <c r="N19" i="13" s="1"/>
  <c r="Q108" i="8"/>
  <c r="N18" i="13" s="1"/>
  <c r="Q105" i="8"/>
  <c r="N29" i="13" s="1"/>
  <c r="Q111" i="8"/>
  <c r="N21" i="13" s="1"/>
  <c r="Q102" i="8"/>
  <c r="N26" i="13" s="1"/>
  <c r="Q113" i="8"/>
  <c r="Q104" i="8"/>
  <c r="N28" i="13" s="1"/>
  <c r="Q101" i="8"/>
  <c r="N25" i="13" s="1"/>
  <c r="Q107" i="8"/>
  <c r="N17" i="13" s="1"/>
  <c r="Q69" i="8"/>
  <c r="N43" i="13" s="1"/>
  <c r="Q35" i="8"/>
  <c r="Q9" i="8"/>
  <c r="Q15" i="8"/>
  <c r="R15" i="8" s="1"/>
  <c r="S15" i="8" s="1"/>
  <c r="Q29" i="8"/>
  <c r="N13" i="13" s="1"/>
  <c r="Q103" i="8"/>
  <c r="N27" i="13" s="1"/>
  <c r="Q59" i="8"/>
  <c r="N37" i="13" s="1"/>
  <c r="Q8" i="8"/>
  <c r="N2" i="13" s="1"/>
  <c r="Q14" i="8"/>
  <c r="R14" i="8" s="1"/>
  <c r="S14" i="8" s="1"/>
  <c r="Q1" i="8"/>
  <c r="N1" i="13" s="1"/>
  <c r="R131" i="8"/>
  <c r="R111" i="8"/>
  <c r="O21" i="13" s="1"/>
  <c r="R102" i="8"/>
  <c r="O26" i="13" s="1"/>
  <c r="R113" i="8"/>
  <c r="S113" i="8" s="1"/>
  <c r="R101" i="8"/>
  <c r="O25" i="13" s="1"/>
  <c r="R103" i="8"/>
  <c r="O27" i="13" s="1"/>
  <c r="R107" i="8"/>
  <c r="O17" i="13" s="1"/>
  <c r="R109" i="8"/>
  <c r="O19" i="13" s="1"/>
  <c r="R105" i="8"/>
  <c r="O29" i="13" s="1"/>
  <c r="R29" i="8"/>
  <c r="O13" i="13" s="1"/>
  <c r="R31" i="8"/>
  <c r="O5" i="13" s="1"/>
  <c r="R36" i="8"/>
  <c r="R38" i="8"/>
  <c r="R1" i="8"/>
  <c r="O1" i="13" s="1"/>
  <c r="R35" i="8"/>
  <c r="R9" i="8"/>
  <c r="S9" i="8" s="1"/>
  <c r="O19" i="8"/>
  <c r="P19" i="8" s="1"/>
  <c r="Q19" i="8" s="1"/>
  <c r="R19" i="8" s="1"/>
  <c r="S19" i="8" s="1"/>
  <c r="M29" i="8"/>
  <c r="J13" i="13" s="1"/>
  <c r="E17" i="11"/>
  <c r="E11" i="11"/>
  <c r="D478" i="6"/>
  <c r="D102" i="6"/>
  <c r="D103" i="6"/>
  <c r="D104" i="6"/>
  <c r="D105" i="6"/>
  <c r="D106" i="6"/>
  <c r="D107" i="6"/>
  <c r="D108" i="6"/>
  <c r="D109" i="6"/>
  <c r="D110" i="6"/>
  <c r="D111" i="6"/>
  <c r="D112" i="6"/>
  <c r="D113" i="6"/>
  <c r="D114" i="6"/>
  <c r="D115" i="6"/>
  <c r="D116" i="6"/>
  <c r="D144" i="6"/>
  <c r="S101" i="8"/>
  <c r="P25" i="13" s="1"/>
  <c r="S107" i="8"/>
  <c r="P17" i="13" s="1"/>
  <c r="S69" i="8"/>
  <c r="P43" i="13" s="1"/>
  <c r="S131" i="8"/>
  <c r="S29" i="8"/>
  <c r="P13" i="13" s="1"/>
  <c r="S59" i="8"/>
  <c r="P37" i="13" s="1"/>
  <c r="S36" i="8"/>
  <c r="S35" i="8"/>
  <c r="S1" i="8"/>
  <c r="P1" i="13" s="1"/>
  <c r="S38" i="8"/>
  <c r="E12" i="8"/>
  <c r="N20" i="8"/>
  <c r="O20" i="8" s="1"/>
  <c r="P20" i="8" s="1"/>
  <c r="Q20" i="8" s="1"/>
  <c r="R20" i="8" s="1"/>
  <c r="S20" i="8" s="1"/>
  <c r="Q30" i="8"/>
  <c r="R30" i="8" s="1"/>
  <c r="S30" i="8" s="1"/>
  <c r="E90" i="8"/>
  <c r="N20" i="10"/>
  <c r="N9" i="10"/>
  <c r="N12" i="10"/>
  <c r="N22" i="10"/>
  <c r="E6" i="11"/>
  <c r="B268" i="13"/>
  <c r="B272" i="13"/>
  <c r="B269" i="13"/>
  <c r="B266" i="13"/>
  <c r="B259" i="13"/>
  <c r="B276" i="13"/>
  <c r="B261" i="13"/>
  <c r="B263" i="13"/>
  <c r="B271" i="13"/>
  <c r="B265" i="13"/>
  <c r="B256" i="13"/>
  <c r="B278" i="13"/>
  <c r="B273" i="13"/>
  <c r="B270" i="13"/>
  <c r="B267" i="13"/>
  <c r="B260" i="13"/>
  <c r="B258" i="13"/>
  <c r="K49" i="3" l="1"/>
  <c r="K700" i="6" s="1"/>
  <c r="U146" i="2"/>
  <c r="M738" i="6"/>
  <c r="O51" i="3"/>
  <c r="O702" i="6" s="1"/>
  <c r="G702" i="6"/>
  <c r="M739" i="6"/>
  <c r="F315" i="13"/>
  <c r="J154" i="8"/>
  <c r="K154" i="8" s="1"/>
  <c r="H315" i="13" s="1"/>
  <c r="F305" i="13"/>
  <c r="J150" i="8"/>
  <c r="K150" i="8" s="1"/>
  <c r="H305" i="13" s="1"/>
  <c r="D311" i="13"/>
  <c r="A311" i="13"/>
  <c r="F312" i="13"/>
  <c r="J151" i="8"/>
  <c r="K151" i="8" s="1"/>
  <c r="F313" i="13"/>
  <c r="J152" i="8"/>
  <c r="K152" i="8" s="1"/>
  <c r="H313" i="13" s="1"/>
  <c r="F145" i="7"/>
  <c r="I145" i="8" s="1"/>
  <c r="M148" i="2"/>
  <c r="B33" i="13"/>
  <c r="K67" i="4"/>
  <c r="L67" i="4" s="1"/>
  <c r="K92" i="4"/>
  <c r="O142" i="7"/>
  <c r="AE145" i="2"/>
  <c r="Y91" i="4"/>
  <c r="Y66" i="4"/>
  <c r="AC68" i="4"/>
  <c r="AC93" i="4"/>
  <c r="F18" i="12"/>
  <c r="I620" i="6"/>
  <c r="H145" i="7"/>
  <c r="K145" i="8" s="1"/>
  <c r="Q148" i="2"/>
  <c r="L225" i="13"/>
  <c r="L247" i="13" s="1"/>
  <c r="L226" i="13"/>
  <c r="L246" i="13" s="1"/>
  <c r="L223" i="13"/>
  <c r="L249" i="13" s="1"/>
  <c r="L224" i="13"/>
  <c r="L248" i="13" s="1"/>
  <c r="M138" i="7"/>
  <c r="AA141" i="2"/>
  <c r="I59" i="7"/>
  <c r="S61" i="2"/>
  <c r="Q63" i="4"/>
  <c r="R63" i="4" s="1"/>
  <c r="Q88" i="4"/>
  <c r="E224" i="13"/>
  <c r="E248" i="13" s="1"/>
  <c r="E225" i="13"/>
  <c r="E247" i="13" s="1"/>
  <c r="E223" i="13"/>
  <c r="E249" i="13" s="1"/>
  <c r="E226" i="13"/>
  <c r="E246" i="13" s="1"/>
  <c r="AC92" i="4"/>
  <c r="AC67" i="4"/>
  <c r="E221" i="13"/>
  <c r="E110" i="13"/>
  <c r="E188" i="13"/>
  <c r="E156" i="13"/>
  <c r="E24" i="13"/>
  <c r="E40" i="13"/>
  <c r="E32" i="13"/>
  <c r="E78" i="13"/>
  <c r="E49" i="13"/>
  <c r="E16" i="13"/>
  <c r="E8" i="13"/>
  <c r="E138" i="7"/>
  <c r="H138" i="8" s="1"/>
  <c r="E227" i="13" s="1"/>
  <c r="K141" i="2"/>
  <c r="I141" i="2"/>
  <c r="G69" i="7"/>
  <c r="J69" i="8" s="1"/>
  <c r="G43" i="13" s="1"/>
  <c r="O71" i="2"/>
  <c r="E59" i="7"/>
  <c r="H59" i="8" s="1"/>
  <c r="E37" i="13" s="1"/>
  <c r="K61" i="2"/>
  <c r="B31" i="7"/>
  <c r="E31" i="8" s="1"/>
  <c r="E33" i="2"/>
  <c r="D34" i="2"/>
  <c r="I191" i="13"/>
  <c r="I215" i="13" s="1"/>
  <c r="I192" i="13"/>
  <c r="I214" i="13" s="1"/>
  <c r="I115" i="13"/>
  <c r="I135" i="13" s="1"/>
  <c r="I193" i="13"/>
  <c r="I213" i="13" s="1"/>
  <c r="I159" i="13"/>
  <c r="I183" i="13" s="1"/>
  <c r="I113" i="13"/>
  <c r="I137" i="13" s="1"/>
  <c r="I80" i="13"/>
  <c r="I106" i="13" s="1"/>
  <c r="I160" i="13"/>
  <c r="I182" i="13" s="1"/>
  <c r="I158" i="13"/>
  <c r="I184" i="13" s="1"/>
  <c r="I83" i="13"/>
  <c r="I103" i="13" s="1"/>
  <c r="I161" i="13"/>
  <c r="I181" i="13" s="1"/>
  <c r="I82" i="13"/>
  <c r="I104" i="13" s="1"/>
  <c r="I81" i="13"/>
  <c r="I105" i="13" s="1"/>
  <c r="I112" i="13"/>
  <c r="I138" i="13" s="1"/>
  <c r="I190" i="13"/>
  <c r="I216" i="13" s="1"/>
  <c r="I114" i="13"/>
  <c r="I136" i="13" s="1"/>
  <c r="M145" i="7"/>
  <c r="AA148" i="2"/>
  <c r="O85" i="4"/>
  <c r="O60" i="4"/>
  <c r="P60" i="4" s="1"/>
  <c r="P85" i="4" s="1"/>
  <c r="O93" i="4"/>
  <c r="O68" i="4"/>
  <c r="P68" i="4" s="1"/>
  <c r="G145" i="7"/>
  <c r="J145" i="8" s="1"/>
  <c r="O148" i="2"/>
  <c r="E69" i="7"/>
  <c r="H69" i="8" s="1"/>
  <c r="E43" i="13" s="1"/>
  <c r="K71" i="2"/>
  <c r="B35" i="13"/>
  <c r="A312" i="13"/>
  <c r="D312" i="13"/>
  <c r="E137" i="7"/>
  <c r="H137" i="8" s="1"/>
  <c r="I140" i="2"/>
  <c r="K140" i="2"/>
  <c r="N38" i="7"/>
  <c r="Q38" i="8" s="1"/>
  <c r="AC40" i="2"/>
  <c r="O141" i="7"/>
  <c r="AE144" i="2"/>
  <c r="M32" i="7"/>
  <c r="P32" i="8" s="1"/>
  <c r="M4" i="13" s="1"/>
  <c r="Z35" i="2"/>
  <c r="E92" i="4"/>
  <c r="E67" i="4"/>
  <c r="F52" i="4"/>
  <c r="F92" i="4" s="1"/>
  <c r="G641" i="6" s="1"/>
  <c r="I641" i="6" s="1"/>
  <c r="AA59" i="4"/>
  <c r="AA84" i="4"/>
  <c r="I140" i="7"/>
  <c r="L140" i="8" s="1"/>
  <c r="D193" i="13"/>
  <c r="D213" i="13" s="1"/>
  <c r="D190" i="13"/>
  <c r="D216" i="13" s="1"/>
  <c r="D192" i="13"/>
  <c r="D214" i="13" s="1"/>
  <c r="D160" i="13"/>
  <c r="D182" i="13" s="1"/>
  <c r="D159" i="13"/>
  <c r="D183" i="13" s="1"/>
  <c r="D158" i="13"/>
  <c r="D184" i="13" s="1"/>
  <c r="D83" i="13"/>
  <c r="D103" i="13" s="1"/>
  <c r="D161" i="13"/>
  <c r="D181" i="13" s="1"/>
  <c r="D191" i="13"/>
  <c r="D215" i="13" s="1"/>
  <c r="D81" i="13"/>
  <c r="D105" i="13" s="1"/>
  <c r="D112" i="13"/>
  <c r="D138" i="13" s="1"/>
  <c r="D114" i="13"/>
  <c r="D136" i="13" s="1"/>
  <c r="D115" i="13"/>
  <c r="D135" i="13" s="1"/>
  <c r="D82" i="13"/>
  <c r="D104" i="13" s="1"/>
  <c r="D80" i="13"/>
  <c r="D106" i="13" s="1"/>
  <c r="D113" i="13"/>
  <c r="D137" i="13" s="1"/>
  <c r="J58" i="8"/>
  <c r="G36" i="13" s="1"/>
  <c r="J79" i="8"/>
  <c r="G44" i="13" s="1"/>
  <c r="O89" i="8"/>
  <c r="O58" i="8"/>
  <c r="O117" i="8"/>
  <c r="D188" i="13"/>
  <c r="D221" i="13"/>
  <c r="D110" i="13"/>
  <c r="D156" i="13"/>
  <c r="D49" i="13"/>
  <c r="D16" i="13"/>
  <c r="D8" i="13"/>
  <c r="D24" i="13"/>
  <c r="D40" i="13"/>
  <c r="D32" i="13"/>
  <c r="D78" i="13"/>
  <c r="F86" i="8"/>
  <c r="G86" i="8" s="1"/>
  <c r="H86" i="8" s="1"/>
  <c r="I86" i="8" s="1"/>
  <c r="J86" i="8" s="1"/>
  <c r="K86" i="8" s="1"/>
  <c r="F95" i="8"/>
  <c r="G95" i="8" s="1"/>
  <c r="H95" i="8" s="1"/>
  <c r="I95" i="8" s="1"/>
  <c r="J95" i="8" s="1"/>
  <c r="K95" i="8" s="1"/>
  <c r="B11" i="8"/>
  <c r="D11" i="8" s="1"/>
  <c r="B71" i="8"/>
  <c r="D71" i="8" s="1"/>
  <c r="C73" i="2" s="1"/>
  <c r="B18" i="13"/>
  <c r="B227" i="13"/>
  <c r="D351" i="6"/>
  <c r="D378" i="6"/>
  <c r="D350" i="6"/>
  <c r="D369" i="6"/>
  <c r="D360" i="6"/>
  <c r="K642" i="6"/>
  <c r="K634" i="6"/>
  <c r="K637" i="6"/>
  <c r="K635" i="6"/>
  <c r="K633" i="6"/>
  <c r="K644" i="6"/>
  <c r="K632" i="6"/>
  <c r="K643" i="6"/>
  <c r="K640" i="6"/>
  <c r="K638" i="6"/>
  <c r="K636" i="6"/>
  <c r="G634" i="6"/>
  <c r="I634" i="6" s="1"/>
  <c r="G632" i="6"/>
  <c r="I632" i="6" s="1"/>
  <c r="K641" i="6"/>
  <c r="G633" i="6"/>
  <c r="I633" i="6" s="1"/>
  <c r="K639" i="6"/>
  <c r="K90" i="4"/>
  <c r="K65" i="4"/>
  <c r="K141" i="7"/>
  <c r="N141" i="8" s="1"/>
  <c r="O141" i="8" s="1"/>
  <c r="W144" i="2"/>
  <c r="F132" i="7"/>
  <c r="M134" i="2"/>
  <c r="L135" i="2"/>
  <c r="F133" i="7" s="1"/>
  <c r="I133" i="8" s="1"/>
  <c r="I114" i="7"/>
  <c r="L114" i="8" s="1"/>
  <c r="I54" i="13" s="1"/>
  <c r="S116" i="2"/>
  <c r="F38" i="7"/>
  <c r="I38" i="8" s="1"/>
  <c r="M40" i="2"/>
  <c r="P53" i="13"/>
  <c r="P72" i="13" s="1"/>
  <c r="P52" i="13"/>
  <c r="P73" i="13" s="1"/>
  <c r="P51" i="13"/>
  <c r="P74" i="13" s="1"/>
  <c r="L58" i="4"/>
  <c r="K83" i="4"/>
  <c r="K58" i="4"/>
  <c r="F141" i="7"/>
  <c r="I141" i="8" s="1"/>
  <c r="I32" i="7"/>
  <c r="R35" i="2"/>
  <c r="O223" i="13"/>
  <c r="O249" i="13" s="1"/>
  <c r="O225" i="13"/>
  <c r="O247" i="13" s="1"/>
  <c r="O224" i="13"/>
  <c r="O248" i="13" s="1"/>
  <c r="O226" i="13"/>
  <c r="O246" i="13" s="1"/>
  <c r="AE85" i="4"/>
  <c r="AE60" i="4"/>
  <c r="AE93" i="4"/>
  <c r="AE68" i="4"/>
  <c r="E91" i="4"/>
  <c r="F51" i="4"/>
  <c r="F91" i="4" s="1"/>
  <c r="G640" i="6" s="1"/>
  <c r="I640" i="6" s="1"/>
  <c r="E66" i="4"/>
  <c r="Y60" i="4"/>
  <c r="Y85" i="4"/>
  <c r="Y93" i="4"/>
  <c r="Y68" i="4"/>
  <c r="I66" i="4"/>
  <c r="J66" i="4" s="1"/>
  <c r="J91" i="4" s="1"/>
  <c r="I91" i="4"/>
  <c r="O145" i="7"/>
  <c r="AE148" i="2"/>
  <c r="H137" i="7"/>
  <c r="K137" i="8" s="1"/>
  <c r="Q140" i="2"/>
  <c r="N193" i="13"/>
  <c r="N213" i="13" s="1"/>
  <c r="N192" i="13"/>
  <c r="N214" i="13" s="1"/>
  <c r="N191" i="13"/>
  <c r="N215" i="13" s="1"/>
  <c r="N190" i="13"/>
  <c r="N216" i="13" s="1"/>
  <c r="N159" i="13"/>
  <c r="N183" i="13" s="1"/>
  <c r="N158" i="13"/>
  <c r="N184" i="13" s="1"/>
  <c r="N112" i="13"/>
  <c r="N138" i="13" s="1"/>
  <c r="N80" i="13"/>
  <c r="N106" i="13" s="1"/>
  <c r="N161" i="13"/>
  <c r="N181" i="13" s="1"/>
  <c r="N160" i="13"/>
  <c r="N182" i="13" s="1"/>
  <c r="N113" i="13"/>
  <c r="N137" i="13" s="1"/>
  <c r="N83" i="13"/>
  <c r="N103" i="13" s="1"/>
  <c r="N115" i="13"/>
  <c r="N135" i="13" s="1"/>
  <c r="N82" i="13"/>
  <c r="N104" i="13" s="1"/>
  <c r="N114" i="13"/>
  <c r="N136" i="13" s="1"/>
  <c r="N81" i="13"/>
  <c r="N105" i="13" s="1"/>
  <c r="AC91" i="4"/>
  <c r="AC66" i="4"/>
  <c r="Y58" i="4"/>
  <c r="Y83" i="4"/>
  <c r="Z58" i="4"/>
  <c r="Z83" i="4" s="1"/>
  <c r="W92" i="4"/>
  <c r="W67" i="4"/>
  <c r="G89" i="4"/>
  <c r="G64" i="4"/>
  <c r="H64" i="4" s="1"/>
  <c r="H89" i="4" s="1"/>
  <c r="B147" i="13"/>
  <c r="K332" i="13" s="1"/>
  <c r="I180" i="6"/>
  <c r="N138" i="7"/>
  <c r="AC141" i="2"/>
  <c r="G619" i="6"/>
  <c r="AA61" i="4"/>
  <c r="AA86" i="4"/>
  <c r="M143" i="7"/>
  <c r="AA146" i="2"/>
  <c r="Y146" i="2"/>
  <c r="O137" i="7"/>
  <c r="AE140" i="2"/>
  <c r="C37" i="7"/>
  <c r="F37" i="8" s="1"/>
  <c r="G39" i="2"/>
  <c r="F40" i="2"/>
  <c r="D53" i="13"/>
  <c r="D72" i="13" s="1"/>
  <c r="D57" i="13" s="1"/>
  <c r="H117" i="2" s="1"/>
  <c r="D115" i="7" s="1"/>
  <c r="G115" i="8" s="1"/>
  <c r="D52" i="13"/>
  <c r="D73" i="13" s="1"/>
  <c r="D51" i="13"/>
  <c r="D74" i="13" s="1"/>
  <c r="B87" i="13"/>
  <c r="B252" i="13"/>
  <c r="B58" i="13"/>
  <c r="P50" i="8"/>
  <c r="P118" i="8"/>
  <c r="E356" i="13"/>
  <c r="C356" i="13" s="1"/>
  <c r="M800" i="6"/>
  <c r="O146" i="3"/>
  <c r="O800" i="6" s="1"/>
  <c r="C69" i="7"/>
  <c r="F69" i="8" s="1"/>
  <c r="C43" i="13" s="1"/>
  <c r="G71" i="2"/>
  <c r="O32" i="7"/>
  <c r="R32" i="8" s="1"/>
  <c r="O4" i="13" s="1"/>
  <c r="AD35" i="2"/>
  <c r="K52" i="13"/>
  <c r="K73" i="13" s="1"/>
  <c r="K51" i="13"/>
  <c r="K74" i="13" s="1"/>
  <c r="K53" i="13"/>
  <c r="K72" i="13" s="1"/>
  <c r="J51" i="13"/>
  <c r="J74" i="13" s="1"/>
  <c r="J52" i="13"/>
  <c r="J73" i="13" s="1"/>
  <c r="J53" i="13"/>
  <c r="J72" i="13" s="1"/>
  <c r="I226" i="13"/>
  <c r="I246" i="13" s="1"/>
  <c r="I225" i="13"/>
  <c r="I247" i="13" s="1"/>
  <c r="I224" i="13"/>
  <c r="I248" i="13" s="1"/>
  <c r="I223" i="13"/>
  <c r="I249" i="13" s="1"/>
  <c r="K610" i="6"/>
  <c r="Q84" i="4"/>
  <c r="Q59" i="4"/>
  <c r="R59" i="4" s="1"/>
  <c r="AG91" i="4"/>
  <c r="AG66" i="4"/>
  <c r="Q90" i="4"/>
  <c r="Q65" i="4"/>
  <c r="N130" i="7"/>
  <c r="AB133" i="2"/>
  <c r="N131" i="7" s="1"/>
  <c r="Q131" i="8" s="1"/>
  <c r="AC132" i="2"/>
  <c r="O61" i="4"/>
  <c r="P61" i="4" s="1"/>
  <c r="P86" i="4" s="1"/>
  <c r="O86" i="4"/>
  <c r="O59" i="4"/>
  <c r="P59" i="4" s="1"/>
  <c r="P84" i="4" s="1"/>
  <c r="O84" i="4"/>
  <c r="B63" i="8"/>
  <c r="D63" i="8" s="1"/>
  <c r="C65" i="2" s="1"/>
  <c r="A314" i="13"/>
  <c r="D314" i="13"/>
  <c r="N132" i="7"/>
  <c r="AC134" i="2"/>
  <c r="AB135" i="2"/>
  <c r="N133" i="7" s="1"/>
  <c r="Q133" i="8" s="1"/>
  <c r="E191" i="13"/>
  <c r="E215" i="13" s="1"/>
  <c r="E192" i="13"/>
  <c r="E214" i="13" s="1"/>
  <c r="E190" i="13"/>
  <c r="E216" i="13" s="1"/>
  <c r="E112" i="13"/>
  <c r="E138" i="13" s="1"/>
  <c r="E158" i="13"/>
  <c r="E184" i="13" s="1"/>
  <c r="E80" i="13"/>
  <c r="E106" i="13" s="1"/>
  <c r="E161" i="13"/>
  <c r="E181" i="13" s="1"/>
  <c r="E113" i="13"/>
  <c r="E137" i="13" s="1"/>
  <c r="E193" i="13"/>
  <c r="E213" i="13" s="1"/>
  <c r="E160" i="13"/>
  <c r="E182" i="13" s="1"/>
  <c r="E159" i="13"/>
  <c r="E183" i="13" s="1"/>
  <c r="E114" i="13"/>
  <c r="E136" i="13" s="1"/>
  <c r="E115" i="13"/>
  <c r="E135" i="13" s="1"/>
  <c r="E83" i="13"/>
  <c r="E103" i="13" s="1"/>
  <c r="E82" i="13"/>
  <c r="E104" i="13" s="1"/>
  <c r="E81" i="13"/>
  <c r="E105" i="13" s="1"/>
  <c r="E93" i="4"/>
  <c r="F53" i="4"/>
  <c r="F93" i="4" s="1"/>
  <c r="G642" i="6" s="1"/>
  <c r="I642" i="6" s="1"/>
  <c r="E68" i="4"/>
  <c r="E143" i="7"/>
  <c r="H143" i="8" s="1"/>
  <c r="K146" i="2"/>
  <c r="I146" i="2"/>
  <c r="W90" i="4"/>
  <c r="W65" i="4"/>
  <c r="I141" i="7"/>
  <c r="L141" i="8" s="1"/>
  <c r="AA88" i="4"/>
  <c r="AA63" i="4"/>
  <c r="F31" i="7"/>
  <c r="I31" i="8" s="1"/>
  <c r="F5" i="13" s="1"/>
  <c r="M33" i="2"/>
  <c r="L34" i="2"/>
  <c r="AG89" i="4"/>
  <c r="AG64" i="4"/>
  <c r="J137" i="7"/>
  <c r="M137" i="8" s="1"/>
  <c r="U140" i="2"/>
  <c r="B114" i="7"/>
  <c r="E116" i="2"/>
  <c r="O92" i="4"/>
  <c r="O67" i="4"/>
  <c r="P67" i="4" s="1"/>
  <c r="P92" i="4" s="1"/>
  <c r="F166" i="8"/>
  <c r="G166" i="8" s="1"/>
  <c r="H166" i="8" s="1"/>
  <c r="I166" i="8" s="1"/>
  <c r="J166" i="8" s="1"/>
  <c r="K166" i="8" s="1"/>
  <c r="K91" i="4"/>
  <c r="K66" i="4"/>
  <c r="L66" i="4" s="1"/>
  <c r="AA83" i="4"/>
  <c r="AB58" i="4"/>
  <c r="AB83" i="4" s="1"/>
  <c r="AA58" i="4"/>
  <c r="AA134" i="2"/>
  <c r="AE67" i="4"/>
  <c r="AE92" i="4"/>
  <c r="Y67" i="4"/>
  <c r="Y92" i="4"/>
  <c r="N142" i="7"/>
  <c r="AC145" i="2"/>
  <c r="N51" i="13"/>
  <c r="N74" i="13" s="1"/>
  <c r="N52" i="13"/>
  <c r="N73" i="13" s="1"/>
  <c r="N53" i="13"/>
  <c r="N72" i="13" s="1"/>
  <c r="G88" i="4"/>
  <c r="G63" i="4"/>
  <c r="H63" i="4" s="1"/>
  <c r="H88" i="4" s="1"/>
  <c r="F19" i="12"/>
  <c r="I621" i="6"/>
  <c r="Q89" i="4"/>
  <c r="Q64" i="4"/>
  <c r="R64" i="4" s="1"/>
  <c r="Q26" i="8"/>
  <c r="G221" i="13"/>
  <c r="G78" i="13"/>
  <c r="G156" i="13"/>
  <c r="G40" i="13"/>
  <c r="G49" i="13"/>
  <c r="G32" i="13"/>
  <c r="G16" i="13"/>
  <c r="G8" i="13"/>
  <c r="G110" i="13"/>
  <c r="G24" i="13"/>
  <c r="J64" i="8"/>
  <c r="G41" i="13" s="1"/>
  <c r="J89" i="8"/>
  <c r="G45" i="13" s="1"/>
  <c r="L110" i="13"/>
  <c r="L156" i="13"/>
  <c r="L221" i="13"/>
  <c r="L78" i="13"/>
  <c r="L49" i="13"/>
  <c r="L16" i="13"/>
  <c r="L8" i="13"/>
  <c r="L24" i="13"/>
  <c r="L32" i="13"/>
  <c r="L40" i="13"/>
  <c r="F67" i="8"/>
  <c r="G67" i="8" s="1"/>
  <c r="H67" i="8" s="1"/>
  <c r="I67" i="8" s="1"/>
  <c r="J67" i="8" s="1"/>
  <c r="K67" i="8" s="1"/>
  <c r="F63" i="8"/>
  <c r="G63" i="8" s="1"/>
  <c r="H63" i="8" s="1"/>
  <c r="I63" i="8" s="1"/>
  <c r="J63" i="8" s="1"/>
  <c r="K63" i="8" s="1"/>
  <c r="F45" i="8"/>
  <c r="G45" i="8" s="1"/>
  <c r="H45" i="8" s="1"/>
  <c r="I45" i="8" s="1"/>
  <c r="J45" i="8" s="1"/>
  <c r="K45" i="8" s="1"/>
  <c r="L45" i="8" s="1"/>
  <c r="M45" i="8" s="1"/>
  <c r="N45" i="8" s="1"/>
  <c r="O45" i="8" s="1"/>
  <c r="P45" i="8" s="1"/>
  <c r="Q45" i="8" s="1"/>
  <c r="R45" i="8" s="1"/>
  <c r="S45" i="8" s="1"/>
  <c r="B11" i="13"/>
  <c r="B34" i="13"/>
  <c r="B45" i="13"/>
  <c r="B27" i="13"/>
  <c r="B103" i="8"/>
  <c r="D103" i="8" s="1"/>
  <c r="D307" i="6"/>
  <c r="D318" i="6"/>
  <c r="D316" i="6"/>
  <c r="D314" i="6"/>
  <c r="D312" i="6"/>
  <c r="D310" i="6"/>
  <c r="D308" i="6"/>
  <c r="L161" i="8"/>
  <c r="M161" i="8" s="1"/>
  <c r="N161" i="8" s="1"/>
  <c r="O161" i="8" s="1"/>
  <c r="P161" i="8" s="1"/>
  <c r="Q161" i="8" s="1"/>
  <c r="R161" i="8" s="1"/>
  <c r="S161" i="8" s="1"/>
  <c r="L151" i="8"/>
  <c r="M151" i="8" s="1"/>
  <c r="L133" i="8"/>
  <c r="L166" i="8"/>
  <c r="M166" i="8" s="1"/>
  <c r="N166" i="8" s="1"/>
  <c r="O166" i="8" s="1"/>
  <c r="P166" i="8" s="1"/>
  <c r="Q166" i="8" s="1"/>
  <c r="R166" i="8" s="1"/>
  <c r="S166" i="8" s="1"/>
  <c r="L158" i="8"/>
  <c r="M158" i="8" s="1"/>
  <c r="N158" i="8" s="1"/>
  <c r="O158" i="8" s="1"/>
  <c r="P158" i="8" s="1"/>
  <c r="Q158" i="8" s="1"/>
  <c r="R158" i="8" s="1"/>
  <c r="S158" i="8" s="1"/>
  <c r="L118" i="8"/>
  <c r="I116" i="13" s="1"/>
  <c r="L163" i="8"/>
  <c r="M163" i="8" s="1"/>
  <c r="N163" i="8" s="1"/>
  <c r="O163" i="8" s="1"/>
  <c r="P163" i="8" s="1"/>
  <c r="Q163" i="8" s="1"/>
  <c r="R163" i="8" s="1"/>
  <c r="S163" i="8" s="1"/>
  <c r="L138" i="8"/>
  <c r="I227" i="13" s="1"/>
  <c r="L160" i="8"/>
  <c r="M160" i="8" s="1"/>
  <c r="N160" i="8" s="1"/>
  <c r="O160" i="8" s="1"/>
  <c r="P160" i="8" s="1"/>
  <c r="Q160" i="8" s="1"/>
  <c r="R160" i="8" s="1"/>
  <c r="S160" i="8" s="1"/>
  <c r="L150" i="8"/>
  <c r="L157" i="8"/>
  <c r="M157" i="8" s="1"/>
  <c r="N157" i="8" s="1"/>
  <c r="O157" i="8" s="1"/>
  <c r="P157" i="8" s="1"/>
  <c r="Q157" i="8" s="1"/>
  <c r="R157" i="8" s="1"/>
  <c r="S157" i="8" s="1"/>
  <c r="L129" i="8"/>
  <c r="M129" i="8" s="1"/>
  <c r="N129" i="8" s="1"/>
  <c r="O129" i="8" s="1"/>
  <c r="P129" i="8" s="1"/>
  <c r="Q129" i="8" s="1"/>
  <c r="R129" i="8" s="1"/>
  <c r="S129" i="8" s="1"/>
  <c r="L117" i="8"/>
  <c r="I84" i="13" s="1"/>
  <c r="L152" i="8"/>
  <c r="L125" i="8"/>
  <c r="M125" i="8" s="1"/>
  <c r="N125" i="8" s="1"/>
  <c r="O125" i="8" s="1"/>
  <c r="P125" i="8" s="1"/>
  <c r="Q125" i="8" s="1"/>
  <c r="R125" i="8" s="1"/>
  <c r="S125" i="8" s="1"/>
  <c r="L104" i="8"/>
  <c r="I28" i="13" s="1"/>
  <c r="L95" i="8"/>
  <c r="M95" i="8" s="1"/>
  <c r="N95" i="8" s="1"/>
  <c r="O95" i="8" s="1"/>
  <c r="P95" i="8" s="1"/>
  <c r="Q95" i="8" s="1"/>
  <c r="R95" i="8" s="1"/>
  <c r="S95" i="8" s="1"/>
  <c r="L79" i="8"/>
  <c r="L71" i="8"/>
  <c r="M71" i="8" s="1"/>
  <c r="N71" i="8" s="1"/>
  <c r="O71" i="8" s="1"/>
  <c r="P71" i="8" s="1"/>
  <c r="Q71" i="8" s="1"/>
  <c r="R71" i="8" s="1"/>
  <c r="S71" i="8" s="1"/>
  <c r="L145" i="8"/>
  <c r="L109" i="8"/>
  <c r="I19" i="13" s="1"/>
  <c r="L108" i="8"/>
  <c r="I18" i="13" s="1"/>
  <c r="L101" i="8"/>
  <c r="I25" i="13" s="1"/>
  <c r="L164" i="8"/>
  <c r="M164" i="8" s="1"/>
  <c r="N164" i="8" s="1"/>
  <c r="O164" i="8" s="1"/>
  <c r="P164" i="8" s="1"/>
  <c r="Q164" i="8" s="1"/>
  <c r="R164" i="8" s="1"/>
  <c r="S164" i="8" s="1"/>
  <c r="L107" i="8"/>
  <c r="I17" i="13" s="1"/>
  <c r="L97" i="8"/>
  <c r="M97" i="8" s="1"/>
  <c r="N97" i="8" s="1"/>
  <c r="O97" i="8" s="1"/>
  <c r="P97" i="8" s="1"/>
  <c r="Q97" i="8" s="1"/>
  <c r="R97" i="8" s="1"/>
  <c r="S97" i="8" s="1"/>
  <c r="L89" i="8"/>
  <c r="L154" i="8"/>
  <c r="L147" i="8"/>
  <c r="M147" i="8" s="1"/>
  <c r="N147" i="8" s="1"/>
  <c r="O147" i="8" s="1"/>
  <c r="P147" i="8" s="1"/>
  <c r="Q147" i="8" s="1"/>
  <c r="R147" i="8" s="1"/>
  <c r="S147" i="8" s="1"/>
  <c r="L127" i="8"/>
  <c r="M127" i="8" s="1"/>
  <c r="N127" i="8" s="1"/>
  <c r="O127" i="8" s="1"/>
  <c r="P127" i="8" s="1"/>
  <c r="Q127" i="8" s="1"/>
  <c r="R127" i="8" s="1"/>
  <c r="S127" i="8" s="1"/>
  <c r="L110" i="8"/>
  <c r="I20" i="13" s="1"/>
  <c r="L103" i="8"/>
  <c r="I27" i="13" s="1"/>
  <c r="L94" i="8"/>
  <c r="M94" i="8" s="1"/>
  <c r="N94" i="8" s="1"/>
  <c r="O94" i="8" s="1"/>
  <c r="P94" i="8" s="1"/>
  <c r="Q94" i="8" s="1"/>
  <c r="R94" i="8" s="1"/>
  <c r="S94" i="8" s="1"/>
  <c r="L86" i="8"/>
  <c r="M86" i="8" s="1"/>
  <c r="N86" i="8" s="1"/>
  <c r="O86" i="8" s="1"/>
  <c r="P86" i="8" s="1"/>
  <c r="Q86" i="8" s="1"/>
  <c r="R86" i="8" s="1"/>
  <c r="S86" i="8" s="1"/>
  <c r="L70" i="8"/>
  <c r="M70" i="8" s="1"/>
  <c r="L111" i="8"/>
  <c r="I21" i="13" s="1"/>
  <c r="L105" i="8"/>
  <c r="I29" i="13" s="1"/>
  <c r="L63" i="8"/>
  <c r="M63" i="8" s="1"/>
  <c r="N63" i="8" s="1"/>
  <c r="O63" i="8" s="1"/>
  <c r="P63" i="8" s="1"/>
  <c r="Q63" i="8" s="1"/>
  <c r="R63" i="8" s="1"/>
  <c r="S63" i="8" s="1"/>
  <c r="L162" i="8"/>
  <c r="M162" i="8" s="1"/>
  <c r="N162" i="8" s="1"/>
  <c r="O162" i="8" s="1"/>
  <c r="P162" i="8" s="1"/>
  <c r="Q162" i="8" s="1"/>
  <c r="R162" i="8" s="1"/>
  <c r="S162" i="8" s="1"/>
  <c r="L126" i="8"/>
  <c r="M126" i="8" s="1"/>
  <c r="N126" i="8" s="1"/>
  <c r="O126" i="8" s="1"/>
  <c r="P126" i="8" s="1"/>
  <c r="Q126" i="8" s="1"/>
  <c r="R126" i="8" s="1"/>
  <c r="S126" i="8" s="1"/>
  <c r="L98" i="8"/>
  <c r="M98" i="8" s="1"/>
  <c r="N98" i="8" s="1"/>
  <c r="O98" i="8" s="1"/>
  <c r="P98" i="8" s="1"/>
  <c r="Q98" i="8" s="1"/>
  <c r="R98" i="8" s="1"/>
  <c r="S98" i="8" s="1"/>
  <c r="L88" i="8"/>
  <c r="M88" i="8" s="1"/>
  <c r="N88" i="8" s="1"/>
  <c r="O88" i="8" s="1"/>
  <c r="P88" i="8" s="1"/>
  <c r="Q88" i="8" s="1"/>
  <c r="R88" i="8" s="1"/>
  <c r="S88" i="8" s="1"/>
  <c r="L84" i="8"/>
  <c r="M84" i="8" s="1"/>
  <c r="N84" i="8" s="1"/>
  <c r="O84" i="8" s="1"/>
  <c r="P84" i="8" s="1"/>
  <c r="Q84" i="8" s="1"/>
  <c r="R84" i="8" s="1"/>
  <c r="S84" i="8" s="1"/>
  <c r="L82" i="8"/>
  <c r="M82" i="8" s="1"/>
  <c r="N82" i="8" s="1"/>
  <c r="O82" i="8" s="1"/>
  <c r="P82" i="8" s="1"/>
  <c r="Q82" i="8" s="1"/>
  <c r="R82" i="8" s="1"/>
  <c r="S82" i="8" s="1"/>
  <c r="L159" i="8"/>
  <c r="M159" i="8" s="1"/>
  <c r="N159" i="8" s="1"/>
  <c r="O159" i="8" s="1"/>
  <c r="P159" i="8" s="1"/>
  <c r="Q159" i="8" s="1"/>
  <c r="R159" i="8" s="1"/>
  <c r="S159" i="8" s="1"/>
  <c r="L92" i="8"/>
  <c r="M92" i="8" s="1"/>
  <c r="N92" i="8" s="1"/>
  <c r="O92" i="8" s="1"/>
  <c r="P92" i="8" s="1"/>
  <c r="Q92" i="8" s="1"/>
  <c r="R92" i="8" s="1"/>
  <c r="S92" i="8" s="1"/>
  <c r="L90" i="8"/>
  <c r="M90" i="8" s="1"/>
  <c r="L72" i="8"/>
  <c r="M72" i="8" s="1"/>
  <c r="N72" i="8" s="1"/>
  <c r="O72" i="8" s="1"/>
  <c r="P72" i="8" s="1"/>
  <c r="Q72" i="8" s="1"/>
  <c r="R72" i="8" s="1"/>
  <c r="S72" i="8" s="1"/>
  <c r="L96" i="8"/>
  <c r="M96" i="8" s="1"/>
  <c r="N96" i="8" s="1"/>
  <c r="O96" i="8" s="1"/>
  <c r="P96" i="8" s="1"/>
  <c r="Q96" i="8" s="1"/>
  <c r="R96" i="8" s="1"/>
  <c r="S96" i="8" s="1"/>
  <c r="L75" i="8"/>
  <c r="M75" i="8" s="1"/>
  <c r="N75" i="8" s="1"/>
  <c r="O75" i="8" s="1"/>
  <c r="P75" i="8" s="1"/>
  <c r="Q75" i="8" s="1"/>
  <c r="R75" i="8" s="1"/>
  <c r="S75" i="8" s="1"/>
  <c r="L124" i="8"/>
  <c r="M124" i="8" s="1"/>
  <c r="N124" i="8" s="1"/>
  <c r="O124" i="8" s="1"/>
  <c r="P124" i="8" s="1"/>
  <c r="Q124" i="8" s="1"/>
  <c r="R124" i="8" s="1"/>
  <c r="S124" i="8" s="1"/>
  <c r="L91" i="8"/>
  <c r="M91" i="8" s="1"/>
  <c r="N91" i="8" s="1"/>
  <c r="O91" i="8" s="1"/>
  <c r="P91" i="8" s="1"/>
  <c r="Q91" i="8" s="1"/>
  <c r="R91" i="8" s="1"/>
  <c r="S91" i="8" s="1"/>
  <c r="L80" i="8"/>
  <c r="M80" i="8" s="1"/>
  <c r="L64" i="8"/>
  <c r="L59" i="8"/>
  <c r="I37" i="13" s="1"/>
  <c r="L51" i="8"/>
  <c r="M51" i="8" s="1"/>
  <c r="L43" i="8"/>
  <c r="M43" i="8" s="1"/>
  <c r="N43" i="8" s="1"/>
  <c r="O43" i="8" s="1"/>
  <c r="P43" i="8" s="1"/>
  <c r="Q43" i="8" s="1"/>
  <c r="R43" i="8" s="1"/>
  <c r="S43" i="8" s="1"/>
  <c r="L34" i="8"/>
  <c r="L26" i="8"/>
  <c r="I10" i="13" s="1"/>
  <c r="L17" i="8"/>
  <c r="B17" i="8" s="1"/>
  <c r="D17" i="8" s="1"/>
  <c r="L56" i="8"/>
  <c r="M56" i="8" s="1"/>
  <c r="N56" i="8" s="1"/>
  <c r="O56" i="8" s="1"/>
  <c r="P56" i="8" s="1"/>
  <c r="Q56" i="8" s="1"/>
  <c r="R56" i="8" s="1"/>
  <c r="S56" i="8" s="1"/>
  <c r="L48" i="8"/>
  <c r="M48" i="8" s="1"/>
  <c r="N48" i="8" s="1"/>
  <c r="O48" i="8" s="1"/>
  <c r="P48" i="8" s="1"/>
  <c r="Q48" i="8" s="1"/>
  <c r="R48" i="8" s="1"/>
  <c r="S48" i="8" s="1"/>
  <c r="L39" i="8"/>
  <c r="L31" i="8"/>
  <c r="I5" i="13" s="1"/>
  <c r="L22" i="8"/>
  <c r="L14" i="8"/>
  <c r="L53" i="8"/>
  <c r="M53" i="8" s="1"/>
  <c r="N53" i="8" s="1"/>
  <c r="O53" i="8" s="1"/>
  <c r="P53" i="8" s="1"/>
  <c r="Q53" i="8" s="1"/>
  <c r="R53" i="8" s="1"/>
  <c r="S53" i="8" s="1"/>
  <c r="L36" i="8"/>
  <c r="L28" i="8"/>
  <c r="I12" i="13" s="1"/>
  <c r="L19" i="8"/>
  <c r="L11" i="8"/>
  <c r="L113" i="8"/>
  <c r="B113" i="8" s="1"/>
  <c r="D113" i="8" s="1"/>
  <c r="L67" i="8"/>
  <c r="M67" i="8" s="1"/>
  <c r="N67" i="8" s="1"/>
  <c r="O67" i="8" s="1"/>
  <c r="P67" i="8" s="1"/>
  <c r="Q67" i="8" s="1"/>
  <c r="R67" i="8" s="1"/>
  <c r="S67" i="8" s="1"/>
  <c r="L58" i="8"/>
  <c r="L50" i="8"/>
  <c r="L42" i="8"/>
  <c r="M42" i="8" s="1"/>
  <c r="L25" i="8"/>
  <c r="I9" i="13" s="1"/>
  <c r="L16" i="8"/>
  <c r="B16" i="8" s="1"/>
  <c r="D16" i="8" s="1"/>
  <c r="L65" i="8"/>
  <c r="M65" i="8" s="1"/>
  <c r="L55" i="8"/>
  <c r="M55" i="8" s="1"/>
  <c r="L47" i="8"/>
  <c r="M47" i="8" s="1"/>
  <c r="L30" i="8"/>
  <c r="L21" i="8"/>
  <c r="L13" i="8"/>
  <c r="L99" i="8"/>
  <c r="L93" i="8"/>
  <c r="M93" i="8" s="1"/>
  <c r="N93" i="8" s="1"/>
  <c r="O93" i="8" s="1"/>
  <c r="P93" i="8" s="1"/>
  <c r="Q93" i="8" s="1"/>
  <c r="R93" i="8" s="1"/>
  <c r="S93" i="8" s="1"/>
  <c r="L61" i="8"/>
  <c r="M61" i="8" s="1"/>
  <c r="L57" i="8"/>
  <c r="M57" i="8" s="1"/>
  <c r="N57" i="8" s="1"/>
  <c r="O57" i="8" s="1"/>
  <c r="P57" i="8" s="1"/>
  <c r="Q57" i="8" s="1"/>
  <c r="R57" i="8" s="1"/>
  <c r="S57" i="8" s="1"/>
  <c r="L49" i="8"/>
  <c r="M49" i="8" s="1"/>
  <c r="N49" i="8" s="1"/>
  <c r="O49" i="8" s="1"/>
  <c r="P49" i="8" s="1"/>
  <c r="Q49" i="8" s="1"/>
  <c r="R49" i="8" s="1"/>
  <c r="S49" i="8" s="1"/>
  <c r="L40" i="8"/>
  <c r="L32" i="8"/>
  <c r="I4" i="13" s="1"/>
  <c r="L54" i="8"/>
  <c r="L29" i="8"/>
  <c r="I13" i="13" s="1"/>
  <c r="L9" i="8"/>
  <c r="B9" i="8" s="1"/>
  <c r="D9" i="8" s="1"/>
  <c r="L52" i="8"/>
  <c r="M52" i="8" s="1"/>
  <c r="N52" i="8" s="1"/>
  <c r="O52" i="8" s="1"/>
  <c r="P52" i="8" s="1"/>
  <c r="Q52" i="8" s="1"/>
  <c r="R52" i="8" s="1"/>
  <c r="S52" i="8" s="1"/>
  <c r="L20" i="8"/>
  <c r="L73" i="8"/>
  <c r="M73" i="8" s="1"/>
  <c r="N73" i="8" s="1"/>
  <c r="O73" i="8" s="1"/>
  <c r="P73" i="8" s="1"/>
  <c r="Q73" i="8" s="1"/>
  <c r="R73" i="8" s="1"/>
  <c r="S73" i="8" s="1"/>
  <c r="L23" i="8"/>
  <c r="B23" i="8" s="1"/>
  <c r="D23" i="8" s="1"/>
  <c r="L102" i="8"/>
  <c r="I26" i="13" s="1"/>
  <c r="L68" i="8"/>
  <c r="L15" i="8"/>
  <c r="L12" i="8"/>
  <c r="B12" i="8" s="1"/>
  <c r="D12" i="8" s="1"/>
  <c r="L77" i="8"/>
  <c r="M77" i="8" s="1"/>
  <c r="N77" i="8" s="1"/>
  <c r="O77" i="8" s="1"/>
  <c r="P77" i="8" s="1"/>
  <c r="Q77" i="8" s="1"/>
  <c r="R77" i="8" s="1"/>
  <c r="S77" i="8" s="1"/>
  <c r="L35" i="8"/>
  <c r="L27" i="8"/>
  <c r="I11" i="13" s="1"/>
  <c r="L8" i="8"/>
  <c r="I2" i="13" s="1"/>
  <c r="L46" i="8"/>
  <c r="L18" i="8"/>
  <c r="B18" i="8" s="1"/>
  <c r="D18" i="8" s="1"/>
  <c r="L44" i="8"/>
  <c r="M44" i="8" s="1"/>
  <c r="N44" i="8" s="1"/>
  <c r="O44" i="8" s="1"/>
  <c r="P44" i="8" s="1"/>
  <c r="Q44" i="8" s="1"/>
  <c r="R44" i="8" s="1"/>
  <c r="S44" i="8" s="1"/>
  <c r="L62" i="8"/>
  <c r="M62" i="8" s="1"/>
  <c r="N62" i="8" s="1"/>
  <c r="O62" i="8" s="1"/>
  <c r="P62" i="8" s="1"/>
  <c r="Q62" i="8" s="1"/>
  <c r="R62" i="8" s="1"/>
  <c r="S62" i="8" s="1"/>
  <c r="L1" i="8"/>
  <c r="I1" i="13" s="1"/>
  <c r="G313" i="13"/>
  <c r="K64" i="4"/>
  <c r="L64" i="4" s="1"/>
  <c r="K89" i="4"/>
  <c r="AC84" i="4"/>
  <c r="AC59" i="4"/>
  <c r="B132" i="7"/>
  <c r="E132" i="8" s="1"/>
  <c r="E134" i="2"/>
  <c r="D135" i="2"/>
  <c r="B133" i="7" s="1"/>
  <c r="E133" i="8" s="1"/>
  <c r="E114" i="7"/>
  <c r="H114" i="8" s="1"/>
  <c r="E54" i="13" s="1"/>
  <c r="K116" i="2"/>
  <c r="M37" i="7"/>
  <c r="P37" i="8" s="1"/>
  <c r="Q37" i="8" s="1"/>
  <c r="R37" i="8" s="1"/>
  <c r="S37" i="8" s="1"/>
  <c r="Z40" i="2"/>
  <c r="AA39" i="2"/>
  <c r="P190" i="13"/>
  <c r="P216" i="13" s="1"/>
  <c r="P191" i="13"/>
  <c r="P215" i="13" s="1"/>
  <c r="P193" i="13"/>
  <c r="P213" i="13" s="1"/>
  <c r="P114" i="13"/>
  <c r="P136" i="13" s="1"/>
  <c r="P161" i="13"/>
  <c r="P181" i="13" s="1"/>
  <c r="P160" i="13"/>
  <c r="P182" i="13" s="1"/>
  <c r="P158" i="13"/>
  <c r="P184" i="13" s="1"/>
  <c r="P113" i="13"/>
  <c r="P137" i="13" s="1"/>
  <c r="P192" i="13"/>
  <c r="P214" i="13" s="1"/>
  <c r="P82" i="13"/>
  <c r="P104" i="13" s="1"/>
  <c r="P112" i="13"/>
  <c r="P138" i="13" s="1"/>
  <c r="P115" i="13"/>
  <c r="P135" i="13" s="1"/>
  <c r="P80" i="13"/>
  <c r="P106" i="13" s="1"/>
  <c r="P159" i="13"/>
  <c r="P183" i="13" s="1"/>
  <c r="P83" i="13"/>
  <c r="P103" i="13" s="1"/>
  <c r="P81" i="13"/>
  <c r="P105" i="13" s="1"/>
  <c r="K134" i="2"/>
  <c r="E32" i="7"/>
  <c r="H32" i="8" s="1"/>
  <c r="E4" i="13" s="1"/>
  <c r="J35" i="2"/>
  <c r="G190" i="13"/>
  <c r="G216" i="13" s="1"/>
  <c r="G191" i="13"/>
  <c r="G215" i="13" s="1"/>
  <c r="G113" i="13"/>
  <c r="G137" i="13" s="1"/>
  <c r="G192" i="13"/>
  <c r="G214" i="13" s="1"/>
  <c r="G161" i="13"/>
  <c r="G181" i="13" s="1"/>
  <c r="G193" i="13"/>
  <c r="G213" i="13" s="1"/>
  <c r="G115" i="13"/>
  <c r="G135" i="13" s="1"/>
  <c r="G160" i="13"/>
  <c r="G182" i="13" s="1"/>
  <c r="G159" i="13"/>
  <c r="G183" i="13" s="1"/>
  <c r="G114" i="13"/>
  <c r="G136" i="13" s="1"/>
  <c r="G112" i="13"/>
  <c r="G138" i="13" s="1"/>
  <c r="G82" i="13"/>
  <c r="G104" i="13" s="1"/>
  <c r="G83" i="13"/>
  <c r="G103" i="13" s="1"/>
  <c r="G81" i="13"/>
  <c r="G105" i="13" s="1"/>
  <c r="G80" i="13"/>
  <c r="G106" i="13" s="1"/>
  <c r="G158" i="13"/>
  <c r="G184" i="13" s="1"/>
  <c r="AE86" i="4"/>
  <c r="AE61" i="4"/>
  <c r="AE59" i="4"/>
  <c r="AE84" i="4"/>
  <c r="E65" i="4"/>
  <c r="E90" i="4"/>
  <c r="F50" i="4"/>
  <c r="F90" i="4" s="1"/>
  <c r="G639" i="6" s="1"/>
  <c r="I639" i="6" s="1"/>
  <c r="Y86" i="4"/>
  <c r="Y61" i="4"/>
  <c r="I67" i="4"/>
  <c r="J67" i="4" s="1"/>
  <c r="J92" i="4" s="1"/>
  <c r="I92" i="4"/>
  <c r="J145" i="7"/>
  <c r="M145" i="8" s="1"/>
  <c r="U148" i="2"/>
  <c r="L37" i="7"/>
  <c r="O37" i="8" s="1"/>
  <c r="Y39" i="2"/>
  <c r="X40" i="2"/>
  <c r="N224" i="13"/>
  <c r="N248" i="13" s="1"/>
  <c r="N226" i="13"/>
  <c r="N246" i="13" s="1"/>
  <c r="N223" i="13"/>
  <c r="N249" i="13" s="1"/>
  <c r="N225" i="13"/>
  <c r="N247" i="13" s="1"/>
  <c r="AC65" i="4"/>
  <c r="AC90" i="4"/>
  <c r="W85" i="4"/>
  <c r="W60" i="4"/>
  <c r="W93" i="4"/>
  <c r="W68" i="4"/>
  <c r="G65" i="4"/>
  <c r="G90" i="4"/>
  <c r="N144" i="7"/>
  <c r="Q144" i="8" s="1"/>
  <c r="AC147" i="2"/>
  <c r="J138" i="7"/>
  <c r="M138" i="8" s="1"/>
  <c r="J227" i="13" s="1"/>
  <c r="J229" i="13" s="1"/>
  <c r="T142" i="2" s="1"/>
  <c r="J139" i="7" s="1"/>
  <c r="M139" i="8" s="1"/>
  <c r="U141" i="2"/>
  <c r="G624" i="6"/>
  <c r="G610" i="6"/>
  <c r="AA68" i="4"/>
  <c r="AA93" i="4"/>
  <c r="AA85" i="4"/>
  <c r="AA60" i="4"/>
  <c r="G137" i="7"/>
  <c r="J137" i="8" s="1"/>
  <c r="O140" i="2"/>
  <c r="D226" i="13"/>
  <c r="D246" i="13" s="1"/>
  <c r="D223" i="13"/>
  <c r="D249" i="13" s="1"/>
  <c r="D225" i="13"/>
  <c r="D247" i="13" s="1"/>
  <c r="D224" i="13"/>
  <c r="D248" i="13" s="1"/>
  <c r="K32" i="7"/>
  <c r="V35" i="2"/>
  <c r="K224" i="13"/>
  <c r="K248" i="13" s="1"/>
  <c r="K225" i="13"/>
  <c r="K247" i="13" s="1"/>
  <c r="K226" i="13"/>
  <c r="K246" i="13" s="1"/>
  <c r="K223" i="13"/>
  <c r="K249" i="13" s="1"/>
  <c r="J192" i="13"/>
  <c r="J214" i="13" s="1"/>
  <c r="J161" i="13"/>
  <c r="J181" i="13" s="1"/>
  <c r="J160" i="13"/>
  <c r="J182" i="13" s="1"/>
  <c r="J193" i="13"/>
  <c r="J213" i="13" s="1"/>
  <c r="J190" i="13"/>
  <c r="J216" i="13" s="1"/>
  <c r="J81" i="13"/>
  <c r="J105" i="13" s="1"/>
  <c r="J112" i="13"/>
  <c r="J138" i="13" s="1"/>
  <c r="J191" i="13"/>
  <c r="J215" i="13" s="1"/>
  <c r="J159" i="13"/>
  <c r="J183" i="13" s="1"/>
  <c r="J158" i="13"/>
  <c r="J184" i="13" s="1"/>
  <c r="J83" i="13"/>
  <c r="J103" i="13" s="1"/>
  <c r="J80" i="13"/>
  <c r="J106" i="13" s="1"/>
  <c r="J82" i="13"/>
  <c r="J104" i="13" s="1"/>
  <c r="J115" i="13"/>
  <c r="J135" i="13" s="1"/>
  <c r="J113" i="13"/>
  <c r="J137" i="13" s="1"/>
  <c r="J114" i="13"/>
  <c r="J136" i="13" s="1"/>
  <c r="I52" i="13"/>
  <c r="I73" i="13" s="1"/>
  <c r="I51" i="13"/>
  <c r="I74" i="13" s="1"/>
  <c r="I53" i="13"/>
  <c r="I72" i="13" s="1"/>
  <c r="O58" i="4"/>
  <c r="P58" i="4" s="1"/>
  <c r="P83" i="4" s="1"/>
  <c r="O83" i="4"/>
  <c r="AG67" i="4"/>
  <c r="AG92" i="4"/>
  <c r="Q91" i="4"/>
  <c r="Q66" i="4"/>
  <c r="R66" i="4" s="1"/>
  <c r="J130" i="7"/>
  <c r="T133" i="2"/>
  <c r="J131" i="7" s="1"/>
  <c r="M131" i="8" s="1"/>
  <c r="U132" i="2"/>
  <c r="O62" i="4"/>
  <c r="P62" i="4" s="1"/>
  <c r="P87" i="4" s="1"/>
  <c r="O87" i="4"/>
  <c r="B13" i="13"/>
  <c r="B39" i="8"/>
  <c r="D39" i="8" s="1"/>
  <c r="B26" i="13"/>
  <c r="I84" i="4"/>
  <c r="I59" i="4"/>
  <c r="J59" i="4" s="1"/>
  <c r="J84" i="4" s="1"/>
  <c r="J592" i="6"/>
  <c r="H564" i="6"/>
  <c r="E564" i="6"/>
  <c r="K564" i="6"/>
  <c r="F21" i="12"/>
  <c r="I623" i="6"/>
  <c r="N145" i="7"/>
  <c r="AC148" i="2"/>
  <c r="H38" i="7"/>
  <c r="K38" i="8" s="1"/>
  <c r="S105" i="8"/>
  <c r="P29" i="13" s="1"/>
  <c r="H221" i="13"/>
  <c r="H110" i="13"/>
  <c r="H78" i="13"/>
  <c r="H49" i="13"/>
  <c r="H40" i="13"/>
  <c r="H156" i="13"/>
  <c r="H16" i="13"/>
  <c r="H8" i="13"/>
  <c r="H32" i="13"/>
  <c r="H24" i="13"/>
  <c r="F81" i="8"/>
  <c r="G81" i="8" s="1"/>
  <c r="H81" i="8" s="1"/>
  <c r="I81" i="8" s="1"/>
  <c r="J81" i="8" s="1"/>
  <c r="K81" i="8" s="1"/>
  <c r="L81" i="8" s="1"/>
  <c r="M81" i="8" s="1"/>
  <c r="N81" i="8" s="1"/>
  <c r="O81" i="8" s="1"/>
  <c r="P81" i="8" s="1"/>
  <c r="Q81" i="8" s="1"/>
  <c r="R81" i="8" s="1"/>
  <c r="S81" i="8" s="1"/>
  <c r="B47" i="8"/>
  <c r="D47" i="8" s="1"/>
  <c r="C49" i="2" s="1"/>
  <c r="G700" i="6"/>
  <c r="O49" i="3"/>
  <c r="O700" i="6" s="1"/>
  <c r="F142" i="7"/>
  <c r="I142" i="8" s="1"/>
  <c r="M114" i="7"/>
  <c r="P114" i="8" s="1"/>
  <c r="AA116" i="2"/>
  <c r="O52" i="13"/>
  <c r="O73" i="13" s="1"/>
  <c r="O53" i="13"/>
  <c r="O72" i="13" s="1"/>
  <c r="O51" i="13"/>
  <c r="O74" i="13" s="1"/>
  <c r="I90" i="4"/>
  <c r="I65" i="4"/>
  <c r="W66" i="4"/>
  <c r="W91" i="4"/>
  <c r="F20" i="12"/>
  <c r="I622" i="6"/>
  <c r="AA87" i="4"/>
  <c r="AA62" i="4"/>
  <c r="K37" i="7"/>
  <c r="N37" i="8" s="1"/>
  <c r="W39" i="2"/>
  <c r="V40" i="2"/>
  <c r="G143" i="7"/>
  <c r="J143" i="8" s="1"/>
  <c r="O146" i="2"/>
  <c r="AG90" i="4"/>
  <c r="AG65" i="4"/>
  <c r="S103" i="8"/>
  <c r="P27" i="13" s="1"/>
  <c r="S109" i="8"/>
  <c r="P19" i="13" s="1"/>
  <c r="D165" i="6"/>
  <c r="D162" i="6"/>
  <c r="D159" i="6"/>
  <c r="D157" i="6"/>
  <c r="D153" i="6"/>
  <c r="D152" i="6"/>
  <c r="D151" i="6"/>
  <c r="D150" i="6"/>
  <c r="D149" i="6"/>
  <c r="D148" i="6"/>
  <c r="D147" i="6"/>
  <c r="D146" i="6"/>
  <c r="D145" i="6"/>
  <c r="D482" i="6"/>
  <c r="D480" i="6"/>
  <c r="D487" i="6"/>
  <c r="D479" i="6"/>
  <c r="D488" i="6"/>
  <c r="D489" i="6"/>
  <c r="D486" i="6"/>
  <c r="D485" i="6"/>
  <c r="D481" i="6"/>
  <c r="R108" i="8"/>
  <c r="N221" i="13"/>
  <c r="N156" i="13"/>
  <c r="N110" i="13"/>
  <c r="N32" i="13"/>
  <c r="N49" i="13"/>
  <c r="N40" i="13"/>
  <c r="N78" i="13"/>
  <c r="N16" i="13"/>
  <c r="N8" i="13"/>
  <c r="N24" i="13"/>
  <c r="Q27" i="8"/>
  <c r="F66" i="8"/>
  <c r="G66" i="8" s="1"/>
  <c r="H66" i="8" s="1"/>
  <c r="I66" i="8" s="1"/>
  <c r="J66" i="8" s="1"/>
  <c r="K66" i="8" s="1"/>
  <c r="L66" i="8" s="1"/>
  <c r="M66" i="8" s="1"/>
  <c r="N66" i="8" s="1"/>
  <c r="O66" i="8" s="1"/>
  <c r="P66" i="8" s="1"/>
  <c r="Q66" i="8" s="1"/>
  <c r="R66" i="8" s="1"/>
  <c r="S66" i="8" s="1"/>
  <c r="F53" i="8"/>
  <c r="G53" i="8" s="1"/>
  <c r="H53" i="8" s="1"/>
  <c r="I53" i="8" s="1"/>
  <c r="J53" i="8" s="1"/>
  <c r="K53" i="8" s="1"/>
  <c r="F128" i="8"/>
  <c r="G128" i="8" s="1"/>
  <c r="H128" i="8" s="1"/>
  <c r="I128" i="8" s="1"/>
  <c r="J128" i="8" s="1"/>
  <c r="K128" i="8" s="1"/>
  <c r="L128" i="8" s="1"/>
  <c r="M128" i="8" s="1"/>
  <c r="N128" i="8" s="1"/>
  <c r="O128" i="8" s="1"/>
  <c r="P128" i="8" s="1"/>
  <c r="Q128" i="8" s="1"/>
  <c r="R128" i="8" s="1"/>
  <c r="S128" i="8" s="1"/>
  <c r="F83" i="8"/>
  <c r="G83" i="8" s="1"/>
  <c r="H83" i="8" s="1"/>
  <c r="I83" i="8" s="1"/>
  <c r="J83" i="8" s="1"/>
  <c r="K83" i="8" s="1"/>
  <c r="L83" i="8" s="1"/>
  <c r="M83" i="8" s="1"/>
  <c r="N83" i="8" s="1"/>
  <c r="O83" i="8" s="1"/>
  <c r="P83" i="8" s="1"/>
  <c r="Q83" i="8" s="1"/>
  <c r="R83" i="8" s="1"/>
  <c r="S83" i="8" s="1"/>
  <c r="F165" i="8"/>
  <c r="G165" i="8" s="1"/>
  <c r="H165" i="8" s="1"/>
  <c r="I165" i="8" s="1"/>
  <c r="J165" i="8" s="1"/>
  <c r="K165" i="8" s="1"/>
  <c r="L165" i="8" s="1"/>
  <c r="M165" i="8" s="1"/>
  <c r="N165" i="8" s="1"/>
  <c r="O165" i="8" s="1"/>
  <c r="P165" i="8" s="1"/>
  <c r="Q165" i="8" s="1"/>
  <c r="R165" i="8" s="1"/>
  <c r="S165" i="8" s="1"/>
  <c r="B34" i="8"/>
  <c r="D34" i="8" s="1"/>
  <c r="B49" i="8"/>
  <c r="D49" i="8" s="1"/>
  <c r="C51" i="2" s="1"/>
  <c r="B35" i="8"/>
  <c r="D35" i="8" s="1"/>
  <c r="B19" i="13"/>
  <c r="B42" i="13"/>
  <c r="B36" i="13"/>
  <c r="B80" i="8"/>
  <c r="D80" i="8" s="1"/>
  <c r="C82" i="2" s="1"/>
  <c r="B82" i="8"/>
  <c r="D82" i="8" s="1"/>
  <c r="C84" i="2" s="1"/>
  <c r="B93" i="8"/>
  <c r="D93" i="8" s="1"/>
  <c r="C95" i="2" s="1"/>
  <c r="B164" i="8"/>
  <c r="D164" i="8" s="1"/>
  <c r="C157" i="2" s="1"/>
  <c r="B91" i="8"/>
  <c r="D91" i="8" s="1"/>
  <c r="C93" i="2" s="1"/>
  <c r="B21" i="13"/>
  <c r="B92" i="8"/>
  <c r="D92" i="8" s="1"/>
  <c r="C94" i="2" s="1"/>
  <c r="B162" i="8"/>
  <c r="D162" i="8" s="1"/>
  <c r="C155" i="2" s="1"/>
  <c r="B160" i="8"/>
  <c r="D160" i="8" s="1"/>
  <c r="C153" i="2" s="1"/>
  <c r="B163" i="8"/>
  <c r="D163" i="8" s="1"/>
  <c r="C156" i="2" s="1"/>
  <c r="D264" i="6"/>
  <c r="D273" i="6"/>
  <c r="D271" i="6"/>
  <c r="D269" i="6"/>
  <c r="D267" i="6"/>
  <c r="D265" i="6"/>
  <c r="K88" i="4"/>
  <c r="K63" i="4"/>
  <c r="L63" i="4" s="1"/>
  <c r="AC58" i="4"/>
  <c r="AD58" i="4"/>
  <c r="AD83" i="4" s="1"/>
  <c r="AC83" i="4"/>
  <c r="K145" i="7"/>
  <c r="N145" i="8" s="1"/>
  <c r="W148" i="2"/>
  <c r="F140" i="7"/>
  <c r="I140" i="8" s="1"/>
  <c r="L142" i="7"/>
  <c r="O142" i="8" s="1"/>
  <c r="Y145" i="2"/>
  <c r="M130" i="7"/>
  <c r="AA132" i="2"/>
  <c r="Z133" i="2"/>
  <c r="M131" i="7" s="1"/>
  <c r="P131" i="8" s="1"/>
  <c r="I37" i="7"/>
  <c r="L37" i="8" s="1"/>
  <c r="R40" i="2"/>
  <c r="S39" i="2"/>
  <c r="P223" i="13"/>
  <c r="P249" i="13" s="1"/>
  <c r="P224" i="13"/>
  <c r="P248" i="13" s="1"/>
  <c r="P226" i="13"/>
  <c r="P246" i="13" s="1"/>
  <c r="P225" i="13"/>
  <c r="P247" i="13" s="1"/>
  <c r="O50" i="3"/>
  <c r="O701" i="6" s="1"/>
  <c r="Y132" i="2"/>
  <c r="O59" i="7"/>
  <c r="R59" i="8" s="1"/>
  <c r="O37" i="13" s="1"/>
  <c r="AE61" i="2"/>
  <c r="P31" i="7"/>
  <c r="S31" i="8" s="1"/>
  <c r="P5" i="13" s="1"/>
  <c r="AF34" i="2"/>
  <c r="G52" i="13"/>
  <c r="G73" i="13" s="1"/>
  <c r="G53" i="13"/>
  <c r="G72" i="13" s="1"/>
  <c r="G51" i="13"/>
  <c r="G74" i="13" s="1"/>
  <c r="F51" i="13"/>
  <c r="F74" i="13" s="1"/>
  <c r="F52" i="13"/>
  <c r="F73" i="13" s="1"/>
  <c r="F53" i="13"/>
  <c r="F72" i="13" s="1"/>
  <c r="AE62" i="4"/>
  <c r="AE87" i="4"/>
  <c r="E89" i="4"/>
  <c r="E64" i="4"/>
  <c r="F49" i="4"/>
  <c r="F89" i="4" s="1"/>
  <c r="G638" i="6" s="1"/>
  <c r="I638" i="6" s="1"/>
  <c r="Y87" i="4"/>
  <c r="Y62" i="4"/>
  <c r="I60" i="4"/>
  <c r="J60" i="4" s="1"/>
  <c r="J85" i="4" s="1"/>
  <c r="I85" i="4"/>
  <c r="I93" i="4"/>
  <c r="I68" i="4"/>
  <c r="J68" i="4" s="1"/>
  <c r="E145" i="7"/>
  <c r="H145" i="8" s="1"/>
  <c r="K148" i="2"/>
  <c r="I148" i="2"/>
  <c r="D37" i="7"/>
  <c r="G37" i="8" s="1"/>
  <c r="I39" i="2"/>
  <c r="H40" i="2"/>
  <c r="M51" i="13"/>
  <c r="M74" i="13" s="1"/>
  <c r="M53" i="13"/>
  <c r="M72" i="13" s="1"/>
  <c r="M52" i="13"/>
  <c r="M73" i="13" s="1"/>
  <c r="AC89" i="4"/>
  <c r="AC64" i="4"/>
  <c r="W61" i="4"/>
  <c r="W86" i="4"/>
  <c r="W59" i="4"/>
  <c r="W84" i="4"/>
  <c r="G66" i="4"/>
  <c r="H66" i="4" s="1"/>
  <c r="H91" i="4" s="1"/>
  <c r="G91" i="4"/>
  <c r="F138" i="7"/>
  <c r="I138" i="8" s="1"/>
  <c r="F227" i="13" s="1"/>
  <c r="M141" i="2"/>
  <c r="G613" i="6"/>
  <c r="G616" i="6"/>
  <c r="AA92" i="4"/>
  <c r="AA67" i="4"/>
  <c r="Y84" i="4"/>
  <c r="Y59" i="4"/>
  <c r="M142" i="7"/>
  <c r="AA145" i="2"/>
  <c r="C52" i="13"/>
  <c r="C73" i="13" s="1"/>
  <c r="C53" i="13"/>
  <c r="C72" i="13" s="1"/>
  <c r="C51" i="13"/>
  <c r="C74" i="13" s="1"/>
  <c r="G32" i="7"/>
  <c r="J32" i="8" s="1"/>
  <c r="G4" i="13" s="1"/>
  <c r="N35" i="2"/>
  <c r="K192" i="13"/>
  <c r="K214" i="13" s="1"/>
  <c r="K193" i="13"/>
  <c r="K213" i="13" s="1"/>
  <c r="K82" i="13"/>
  <c r="K104" i="13" s="1"/>
  <c r="K112" i="13"/>
  <c r="K138" i="13" s="1"/>
  <c r="K191" i="13"/>
  <c r="K215" i="13" s="1"/>
  <c r="K159" i="13"/>
  <c r="K183" i="13" s="1"/>
  <c r="K114" i="13"/>
  <c r="K136" i="13" s="1"/>
  <c r="K158" i="13"/>
  <c r="K184" i="13" s="1"/>
  <c r="K190" i="13"/>
  <c r="K216" i="13" s="1"/>
  <c r="K113" i="13"/>
  <c r="K137" i="13" s="1"/>
  <c r="K115" i="13"/>
  <c r="K135" i="13" s="1"/>
  <c r="K83" i="13"/>
  <c r="K103" i="13" s="1"/>
  <c r="K81" i="13"/>
  <c r="K105" i="13" s="1"/>
  <c r="K80" i="13"/>
  <c r="K106" i="13" s="1"/>
  <c r="K160" i="13"/>
  <c r="K182" i="13" s="1"/>
  <c r="K161" i="13"/>
  <c r="K181" i="13" s="1"/>
  <c r="J223" i="13"/>
  <c r="J249" i="13" s="1"/>
  <c r="J224" i="13"/>
  <c r="J248" i="13" s="1"/>
  <c r="J225" i="13"/>
  <c r="J247" i="13" s="1"/>
  <c r="J226" i="13"/>
  <c r="J246" i="13" s="1"/>
  <c r="AG60" i="4"/>
  <c r="AG85" i="4"/>
  <c r="AG93" i="4"/>
  <c r="AG68" i="4"/>
  <c r="Q67" i="4"/>
  <c r="R67" i="4" s="1"/>
  <c r="Q92" i="4"/>
  <c r="O132" i="7"/>
  <c r="AD135" i="2"/>
  <c r="O133" i="7" s="1"/>
  <c r="R133" i="8" s="1"/>
  <c r="AE134" i="2"/>
  <c r="F130" i="7"/>
  <c r="L133" i="2"/>
  <c r="F131" i="7" s="1"/>
  <c r="I131" i="8" s="1"/>
  <c r="M132" i="2"/>
  <c r="Q61" i="2"/>
  <c r="O88" i="4"/>
  <c r="O63" i="4"/>
  <c r="P63" i="4" s="1"/>
  <c r="P88" i="4" s="1"/>
  <c r="B77" i="8"/>
  <c r="D77" i="8" s="1"/>
  <c r="C79" i="2" s="1"/>
  <c r="B37" i="13"/>
  <c r="G58" i="4"/>
  <c r="H58" i="4" s="1"/>
  <c r="H83" i="4" s="1"/>
  <c r="G83" i="4"/>
  <c r="J132" i="7"/>
  <c r="T135" i="2"/>
  <c r="J133" i="7" s="1"/>
  <c r="M133" i="8" s="1"/>
  <c r="U134" i="2"/>
  <c r="AE83" i="4"/>
  <c r="AF58" i="4"/>
  <c r="AF83" i="4" s="1"/>
  <c r="AE58" i="4"/>
  <c r="L180" i="6"/>
  <c r="F137" i="7"/>
  <c r="I137" i="8" s="1"/>
  <c r="M140" i="2"/>
  <c r="R8" i="8"/>
  <c r="S111" i="8"/>
  <c r="P21" i="13" s="1"/>
  <c r="B90" i="8"/>
  <c r="D90" i="8" s="1"/>
  <c r="C92" i="2" s="1"/>
  <c r="R104" i="8"/>
  <c r="O46" i="8"/>
  <c r="O68" i="8"/>
  <c r="O99" i="8"/>
  <c r="K221" i="13"/>
  <c r="K156" i="13"/>
  <c r="K78" i="13"/>
  <c r="K49" i="13"/>
  <c r="K16" i="13"/>
  <c r="K8" i="13"/>
  <c r="K24" i="13"/>
  <c r="K32" i="13"/>
  <c r="K40" i="13"/>
  <c r="K110" i="13"/>
  <c r="F76" i="8"/>
  <c r="G76" i="8" s="1"/>
  <c r="H76" i="8" s="1"/>
  <c r="I76" i="8" s="1"/>
  <c r="J76" i="8" s="1"/>
  <c r="K76" i="8" s="1"/>
  <c r="L76" i="8" s="1"/>
  <c r="M76" i="8" s="1"/>
  <c r="N76" i="8" s="1"/>
  <c r="O76" i="8" s="1"/>
  <c r="P76" i="8" s="1"/>
  <c r="Q76" i="8" s="1"/>
  <c r="R76" i="8" s="1"/>
  <c r="S76" i="8" s="1"/>
  <c r="F74" i="8"/>
  <c r="G74" i="8" s="1"/>
  <c r="H74" i="8" s="1"/>
  <c r="I74" i="8" s="1"/>
  <c r="J74" i="8" s="1"/>
  <c r="K74" i="8" s="1"/>
  <c r="L74" i="8" s="1"/>
  <c r="M74" i="8" s="1"/>
  <c r="N74" i="8" s="1"/>
  <c r="O74" i="8" s="1"/>
  <c r="P74" i="8" s="1"/>
  <c r="Q74" i="8" s="1"/>
  <c r="R74" i="8" s="1"/>
  <c r="S74" i="8" s="1"/>
  <c r="F87" i="8"/>
  <c r="G87" i="8" s="1"/>
  <c r="H87" i="8" s="1"/>
  <c r="I87" i="8" s="1"/>
  <c r="J87" i="8" s="1"/>
  <c r="K87" i="8" s="1"/>
  <c r="L87" i="8" s="1"/>
  <c r="M87" i="8" s="1"/>
  <c r="N87" i="8" s="1"/>
  <c r="O87" i="8" s="1"/>
  <c r="P87" i="8" s="1"/>
  <c r="Q87" i="8" s="1"/>
  <c r="R87" i="8" s="1"/>
  <c r="S87" i="8" s="1"/>
  <c r="F153" i="8"/>
  <c r="G153" i="8" s="1"/>
  <c r="H153" i="8" s="1"/>
  <c r="I153" i="8" s="1"/>
  <c r="B20" i="8"/>
  <c r="D20" i="8" s="1"/>
  <c r="B10" i="13"/>
  <c r="B44" i="8"/>
  <c r="D44" i="8" s="1"/>
  <c r="C46" i="2" s="1"/>
  <c r="B13" i="8"/>
  <c r="D13" i="8" s="1"/>
  <c r="B96" i="8"/>
  <c r="D96" i="8" s="1"/>
  <c r="C98" i="2" s="1"/>
  <c r="B14" i="8"/>
  <c r="D14" i="8" s="1"/>
  <c r="B88" i="8"/>
  <c r="D88" i="8" s="1"/>
  <c r="C90" i="2" s="1"/>
  <c r="B29" i="13"/>
  <c r="B105" i="8"/>
  <c r="D105" i="8" s="1"/>
  <c r="B43" i="13"/>
  <c r="B46" i="13"/>
  <c r="B161" i="8"/>
  <c r="D161" i="8" s="1"/>
  <c r="C154" i="2" s="1"/>
  <c r="B25" i="13"/>
  <c r="B101" i="8"/>
  <c r="D101" i="8" s="1"/>
  <c r="D247" i="6"/>
  <c r="D246" i="6"/>
  <c r="D245" i="6"/>
  <c r="D244" i="6"/>
  <c r="D243" i="6"/>
  <c r="K87" i="4"/>
  <c r="K62" i="4"/>
  <c r="L62" i="4" s="1"/>
  <c r="M84" i="4"/>
  <c r="M59" i="4"/>
  <c r="N59" i="4" s="1"/>
  <c r="K144" i="7"/>
  <c r="N144" i="8" s="1"/>
  <c r="O144" i="8" s="1"/>
  <c r="P144" i="8" s="1"/>
  <c r="Q13" i="4"/>
  <c r="W147" i="2"/>
  <c r="L145" i="7"/>
  <c r="Y148" i="2"/>
  <c r="I130" i="7"/>
  <c r="R133" i="2"/>
  <c r="I131" i="7" s="1"/>
  <c r="L131" i="8" s="1"/>
  <c r="S132" i="2"/>
  <c r="E37" i="7"/>
  <c r="H37" i="8" s="1"/>
  <c r="J40" i="2"/>
  <c r="K39" i="2"/>
  <c r="H192" i="13"/>
  <c r="H214" i="13" s="1"/>
  <c r="H193" i="13"/>
  <c r="H213" i="13" s="1"/>
  <c r="H191" i="13"/>
  <c r="H215" i="13" s="1"/>
  <c r="H161" i="13"/>
  <c r="H181" i="13" s="1"/>
  <c r="H114" i="13"/>
  <c r="H136" i="13" s="1"/>
  <c r="H115" i="13"/>
  <c r="H135" i="13" s="1"/>
  <c r="H81" i="13"/>
  <c r="H105" i="13" s="1"/>
  <c r="H160" i="13"/>
  <c r="H182" i="13" s="1"/>
  <c r="H159" i="13"/>
  <c r="H183" i="13" s="1"/>
  <c r="H80" i="13"/>
  <c r="H106" i="13" s="1"/>
  <c r="H190" i="13"/>
  <c r="H216" i="13" s="1"/>
  <c r="H83" i="13"/>
  <c r="H103" i="13" s="1"/>
  <c r="H158" i="13"/>
  <c r="H184" i="13" s="1"/>
  <c r="H82" i="13"/>
  <c r="H104" i="13" s="1"/>
  <c r="H112" i="13"/>
  <c r="H138" i="13" s="1"/>
  <c r="H113" i="13"/>
  <c r="H137" i="13" s="1"/>
  <c r="O144" i="7"/>
  <c r="AE147" i="2"/>
  <c r="O138" i="7"/>
  <c r="AE141" i="2"/>
  <c r="Q132" i="2"/>
  <c r="K59" i="7"/>
  <c r="N59" i="8" s="1"/>
  <c r="K37" i="13" s="1"/>
  <c r="W61" i="2"/>
  <c r="L31" i="7"/>
  <c r="O31" i="8" s="1"/>
  <c r="L5" i="13" s="1"/>
  <c r="Y33" i="2"/>
  <c r="X34" i="2"/>
  <c r="G223" i="13"/>
  <c r="G249" i="13" s="1"/>
  <c r="G224" i="13"/>
  <c r="G248" i="13" s="1"/>
  <c r="G226" i="13"/>
  <c r="G246" i="13" s="1"/>
  <c r="G225" i="13"/>
  <c r="G247" i="13" s="1"/>
  <c r="F193" i="13"/>
  <c r="F213" i="13" s="1"/>
  <c r="F192" i="13"/>
  <c r="F214" i="13" s="1"/>
  <c r="F191" i="13"/>
  <c r="F215" i="13" s="1"/>
  <c r="F190" i="13"/>
  <c r="F216" i="13" s="1"/>
  <c r="F160" i="13"/>
  <c r="F182" i="13" s="1"/>
  <c r="F159" i="13"/>
  <c r="F183" i="13" s="1"/>
  <c r="F158" i="13"/>
  <c r="F184" i="13" s="1"/>
  <c r="F112" i="13"/>
  <c r="F138" i="13" s="1"/>
  <c r="F161" i="13"/>
  <c r="F181" i="13" s="1"/>
  <c r="F115" i="13"/>
  <c r="F135" i="13" s="1"/>
  <c r="F113" i="13"/>
  <c r="F137" i="13" s="1"/>
  <c r="F83" i="13"/>
  <c r="F103" i="13" s="1"/>
  <c r="F114" i="13"/>
  <c r="F136" i="13" s="1"/>
  <c r="F82" i="13"/>
  <c r="F104" i="13" s="1"/>
  <c r="F81" i="13"/>
  <c r="F105" i="13" s="1"/>
  <c r="F80" i="13"/>
  <c r="F106" i="13" s="1"/>
  <c r="AE63" i="4"/>
  <c r="AE88" i="4"/>
  <c r="F48" i="4"/>
  <c r="F88" i="4" s="1"/>
  <c r="G637" i="6" s="1"/>
  <c r="I637" i="6" s="1"/>
  <c r="E63" i="4"/>
  <c r="E88" i="4"/>
  <c r="Y63" i="4"/>
  <c r="Y88" i="4"/>
  <c r="I86" i="4"/>
  <c r="I61" i="4"/>
  <c r="J61" i="4" s="1"/>
  <c r="J86" i="4" s="1"/>
  <c r="E354" i="13"/>
  <c r="C354" i="13" s="1"/>
  <c r="M798" i="6"/>
  <c r="M147" i="3"/>
  <c r="M801" i="6" s="1"/>
  <c r="O144" i="3"/>
  <c r="O798" i="6" s="1"/>
  <c r="J144" i="7"/>
  <c r="M144" i="8" s="1"/>
  <c r="U147" i="2"/>
  <c r="O13" i="4"/>
  <c r="O79" i="4" s="1"/>
  <c r="N140" i="7"/>
  <c r="AC143" i="2"/>
  <c r="W33" i="2"/>
  <c r="M193" i="13"/>
  <c r="M213" i="13" s="1"/>
  <c r="M190" i="13"/>
  <c r="M216" i="13" s="1"/>
  <c r="M160" i="13"/>
  <c r="M182" i="13" s="1"/>
  <c r="M191" i="13"/>
  <c r="M215" i="13" s="1"/>
  <c r="M159" i="13"/>
  <c r="M183" i="13" s="1"/>
  <c r="M114" i="13"/>
  <c r="M136" i="13" s="1"/>
  <c r="M158" i="13"/>
  <c r="M184" i="13" s="1"/>
  <c r="M115" i="13"/>
  <c r="M135" i="13" s="1"/>
  <c r="M81" i="13"/>
  <c r="M105" i="13" s="1"/>
  <c r="M192" i="13"/>
  <c r="M214" i="13" s="1"/>
  <c r="M161" i="13"/>
  <c r="M181" i="13" s="1"/>
  <c r="M112" i="13"/>
  <c r="M138" i="13" s="1"/>
  <c r="M113" i="13"/>
  <c r="M137" i="13" s="1"/>
  <c r="M83" i="13"/>
  <c r="M103" i="13" s="1"/>
  <c r="M80" i="13"/>
  <c r="M106" i="13" s="1"/>
  <c r="M82" i="13"/>
  <c r="M104" i="13" s="1"/>
  <c r="AC88" i="4"/>
  <c r="AC63" i="4"/>
  <c r="W62" i="4"/>
  <c r="W87" i="4"/>
  <c r="G92" i="4"/>
  <c r="G67" i="4"/>
  <c r="H67" i="4" s="1"/>
  <c r="H92" i="4" s="1"/>
  <c r="I143" i="7"/>
  <c r="L143" i="8" s="1"/>
  <c r="S146" i="2"/>
  <c r="G615" i="6"/>
  <c r="AA91" i="4"/>
  <c r="AA66" i="4"/>
  <c r="M141" i="7"/>
  <c r="AA144" i="2"/>
  <c r="Y144" i="2"/>
  <c r="K114" i="7"/>
  <c r="N114" i="8" s="1"/>
  <c r="K54" i="13" s="1"/>
  <c r="W116" i="2"/>
  <c r="C193" i="13"/>
  <c r="C213" i="13" s="1"/>
  <c r="C190" i="13"/>
  <c r="C216" i="13" s="1"/>
  <c r="C191" i="13"/>
  <c r="C215" i="13" s="1"/>
  <c r="C160" i="13"/>
  <c r="C182" i="13" s="1"/>
  <c r="C158" i="13"/>
  <c r="C184" i="13" s="1"/>
  <c r="C114" i="13"/>
  <c r="C136" i="13" s="1"/>
  <c r="C82" i="13"/>
  <c r="C104" i="13" s="1"/>
  <c r="C161" i="13"/>
  <c r="C181" i="13" s="1"/>
  <c r="C115" i="13"/>
  <c r="C135" i="13" s="1"/>
  <c r="C81" i="13"/>
  <c r="C105" i="13" s="1"/>
  <c r="C192" i="13"/>
  <c r="C214" i="13" s="1"/>
  <c r="C112" i="13"/>
  <c r="C138" i="13" s="1"/>
  <c r="C83" i="13"/>
  <c r="C103" i="13" s="1"/>
  <c r="C113" i="13"/>
  <c r="C137" i="13" s="1"/>
  <c r="C80" i="13"/>
  <c r="C106" i="13" s="1"/>
  <c r="C159" i="13"/>
  <c r="C183" i="13" s="1"/>
  <c r="P64" i="8"/>
  <c r="P54" i="8"/>
  <c r="H144" i="7"/>
  <c r="K144" i="8" s="1"/>
  <c r="K13" i="4"/>
  <c r="Q147" i="2"/>
  <c r="C32" i="7"/>
  <c r="F32" i="8" s="1"/>
  <c r="C4" i="13" s="1"/>
  <c r="F35" i="2"/>
  <c r="G34" i="2"/>
  <c r="B37" i="7"/>
  <c r="E37" i="8" s="1"/>
  <c r="D40" i="2"/>
  <c r="E39" i="2"/>
  <c r="AG61" i="4"/>
  <c r="AG86" i="4"/>
  <c r="Q60" i="4"/>
  <c r="R60" i="4" s="1"/>
  <c r="Q85" i="4"/>
  <c r="Q68" i="4"/>
  <c r="R68" i="4" s="1"/>
  <c r="Q93" i="4"/>
  <c r="Y141" i="2"/>
  <c r="K132" i="7"/>
  <c r="V135" i="2"/>
  <c r="K133" i="7" s="1"/>
  <c r="N133" i="8" s="1"/>
  <c r="W134" i="2"/>
  <c r="B130" i="7"/>
  <c r="E130" i="8" s="1"/>
  <c r="D133" i="2"/>
  <c r="B131" i="7" s="1"/>
  <c r="E131" i="8" s="1"/>
  <c r="E132" i="2"/>
  <c r="I61" i="2"/>
  <c r="O89" i="4"/>
  <c r="O64" i="4"/>
  <c r="P64" i="4" s="1"/>
  <c r="P89" i="4" s="1"/>
  <c r="S148" i="2"/>
  <c r="O221" i="13"/>
  <c r="O156" i="13"/>
  <c r="O78" i="13"/>
  <c r="O110" i="13"/>
  <c r="O49" i="13"/>
  <c r="O40" i="13"/>
  <c r="O24" i="13"/>
  <c r="O32" i="13"/>
  <c r="O16" i="13"/>
  <c r="O8" i="13"/>
  <c r="B9" i="13"/>
  <c r="E59" i="4"/>
  <c r="E84" i="4"/>
  <c r="AG83" i="4"/>
  <c r="AG58" i="4"/>
  <c r="AH58" i="4"/>
  <c r="AH83" i="4" s="1"/>
  <c r="O191" i="13"/>
  <c r="O215" i="13" s="1"/>
  <c r="O192" i="13"/>
  <c r="O214" i="13" s="1"/>
  <c r="O161" i="13"/>
  <c r="O181" i="13" s="1"/>
  <c r="O160" i="13"/>
  <c r="O182" i="13" s="1"/>
  <c r="O113" i="13"/>
  <c r="O137" i="13" s="1"/>
  <c r="O190" i="13"/>
  <c r="O216" i="13" s="1"/>
  <c r="O158" i="13"/>
  <c r="O184" i="13" s="1"/>
  <c r="O115" i="13"/>
  <c r="O135" i="13" s="1"/>
  <c r="O112" i="13"/>
  <c r="O138" i="13" s="1"/>
  <c r="O193" i="13"/>
  <c r="O213" i="13" s="1"/>
  <c r="O83" i="13"/>
  <c r="O103" i="13" s="1"/>
  <c r="O82" i="13"/>
  <c r="O104" i="13" s="1"/>
  <c r="O114" i="13"/>
  <c r="O136" i="13" s="1"/>
  <c r="O159" i="13"/>
  <c r="O183" i="13" s="1"/>
  <c r="O80" i="13"/>
  <c r="O106" i="13" s="1"/>
  <c r="O81" i="13"/>
  <c r="O105" i="13" s="1"/>
  <c r="AE66" i="4"/>
  <c r="AE91" i="4"/>
  <c r="I64" i="4"/>
  <c r="J64" i="4" s="1"/>
  <c r="J89" i="4" s="1"/>
  <c r="I89" i="4"/>
  <c r="AC85" i="4"/>
  <c r="AC60" i="4"/>
  <c r="K69" i="7"/>
  <c r="N69" i="8" s="1"/>
  <c r="K43" i="13" s="1"/>
  <c r="W71" i="2"/>
  <c r="S102" i="8"/>
  <c r="P26" i="13" s="1"/>
  <c r="Q25" i="8"/>
  <c r="Q110" i="8"/>
  <c r="B40" i="8"/>
  <c r="D40" i="8" s="1"/>
  <c r="J50" i="8"/>
  <c r="G34" i="13" s="1"/>
  <c r="F48" i="8"/>
  <c r="G48" i="8" s="1"/>
  <c r="H48" i="8" s="1"/>
  <c r="I48" i="8" s="1"/>
  <c r="J48" i="8" s="1"/>
  <c r="K48" i="8" s="1"/>
  <c r="F85" i="8"/>
  <c r="G85" i="8" s="1"/>
  <c r="H85" i="8" s="1"/>
  <c r="I85" i="8" s="1"/>
  <c r="J85" i="8" s="1"/>
  <c r="K85" i="8" s="1"/>
  <c r="L85" i="8" s="1"/>
  <c r="M85" i="8" s="1"/>
  <c r="N85" i="8" s="1"/>
  <c r="O85" i="8" s="1"/>
  <c r="P85" i="8" s="1"/>
  <c r="Q85" i="8" s="1"/>
  <c r="R85" i="8" s="1"/>
  <c r="S85" i="8" s="1"/>
  <c r="B15" i="8"/>
  <c r="D15" i="8" s="1"/>
  <c r="B57" i="8"/>
  <c r="D57" i="8" s="1"/>
  <c r="C59" i="2" s="1"/>
  <c r="B51" i="8"/>
  <c r="D51" i="8" s="1"/>
  <c r="C53" i="2" s="1"/>
  <c r="B21" i="8"/>
  <c r="D21" i="8" s="1"/>
  <c r="B19" i="8"/>
  <c r="D19" i="8" s="1"/>
  <c r="B22" i="8"/>
  <c r="D22" i="8" s="1"/>
  <c r="B28" i="13"/>
  <c r="B73" i="8"/>
  <c r="D73" i="8" s="1"/>
  <c r="C75" i="2" s="1"/>
  <c r="B116" i="13"/>
  <c r="B97" i="8"/>
  <c r="D97" i="8" s="1"/>
  <c r="C99" i="2" s="1"/>
  <c r="B20" i="13"/>
  <c r="D221" i="6"/>
  <c r="D226" i="6"/>
  <c r="D225" i="6"/>
  <c r="D224" i="6"/>
  <c r="D223" i="6"/>
  <c r="D222" i="6"/>
  <c r="H288" i="13"/>
  <c r="H290" i="13"/>
  <c r="K61" i="4"/>
  <c r="L61" i="4" s="1"/>
  <c r="K86" i="4"/>
  <c r="M58" i="4"/>
  <c r="M83" i="4"/>
  <c r="N58" i="4"/>
  <c r="K143" i="7"/>
  <c r="N143" i="8" s="1"/>
  <c r="O143" i="8" s="1"/>
  <c r="W146" i="2"/>
  <c r="E130" i="7"/>
  <c r="K132" i="2"/>
  <c r="J133" i="2"/>
  <c r="E131" i="7" s="1"/>
  <c r="H131" i="8" s="1"/>
  <c r="H53" i="13"/>
  <c r="H72" i="13" s="1"/>
  <c r="H57" i="13" s="1"/>
  <c r="P117" i="2" s="1"/>
  <c r="H115" i="7" s="1"/>
  <c r="K115" i="8" s="1"/>
  <c r="H52" i="13"/>
  <c r="H73" i="13" s="1"/>
  <c r="H51" i="13"/>
  <c r="H74" i="13" s="1"/>
  <c r="F144" i="7"/>
  <c r="I144" i="8" s="1"/>
  <c r="G13" i="4"/>
  <c r="G79" i="4" s="1"/>
  <c r="M147" i="2"/>
  <c r="K138" i="7"/>
  <c r="N138" i="8" s="1"/>
  <c r="W141" i="2"/>
  <c r="I132" i="2"/>
  <c r="M69" i="7"/>
  <c r="P69" i="8" s="1"/>
  <c r="M43" i="13" s="1"/>
  <c r="AA71" i="2"/>
  <c r="G59" i="7"/>
  <c r="J59" i="8" s="1"/>
  <c r="G37" i="13" s="1"/>
  <c r="O61" i="2"/>
  <c r="H31" i="7"/>
  <c r="K31" i="8" s="1"/>
  <c r="H5" i="13" s="1"/>
  <c r="Q33" i="2"/>
  <c r="P34" i="2"/>
  <c r="O34" i="2" s="1"/>
  <c r="Y71" i="2"/>
  <c r="F223" i="13"/>
  <c r="F249" i="13" s="1"/>
  <c r="F225" i="13"/>
  <c r="F247" i="13" s="1"/>
  <c r="F226" i="13"/>
  <c r="F246" i="13" s="1"/>
  <c r="F224" i="13"/>
  <c r="F248" i="13" s="1"/>
  <c r="AE89" i="4"/>
  <c r="AE64" i="4"/>
  <c r="E87" i="4"/>
  <c r="E62" i="4"/>
  <c r="F47" i="4"/>
  <c r="F87" i="4" s="1"/>
  <c r="G636" i="6" s="1"/>
  <c r="I636" i="6" s="1"/>
  <c r="Y89" i="4"/>
  <c r="Y64" i="4"/>
  <c r="I87" i="4"/>
  <c r="I62" i="4"/>
  <c r="J62" i="4" s="1"/>
  <c r="J87" i="4" s="1"/>
  <c r="N737" i="6"/>
  <c r="M88" i="3"/>
  <c r="P86" i="3" s="1"/>
  <c r="K147" i="2"/>
  <c r="E140" i="7"/>
  <c r="H140" i="8" s="1"/>
  <c r="K143" i="2"/>
  <c r="I143" i="2"/>
  <c r="M226" i="13"/>
  <c r="M246" i="13" s="1"/>
  <c r="M223" i="13"/>
  <c r="M249" i="13" s="1"/>
  <c r="M225" i="13"/>
  <c r="M247" i="13" s="1"/>
  <c r="M224" i="13"/>
  <c r="M248" i="13" s="1"/>
  <c r="AC87" i="4"/>
  <c r="AC62" i="4"/>
  <c r="W88" i="4"/>
  <c r="W63" i="4"/>
  <c r="G85" i="4"/>
  <c r="G60" i="4"/>
  <c r="H60" i="4" s="1"/>
  <c r="H85" i="4" s="1"/>
  <c r="G93" i="4"/>
  <c r="G68" i="4"/>
  <c r="H68" i="4" s="1"/>
  <c r="I142" i="7"/>
  <c r="L142" i="8" s="1"/>
  <c r="F12" i="12"/>
  <c r="I614" i="6"/>
  <c r="G617" i="6"/>
  <c r="AA90" i="4"/>
  <c r="AA65" i="4"/>
  <c r="Q144" i="2"/>
  <c r="G114" i="7"/>
  <c r="J114" i="8" s="1"/>
  <c r="G54" i="13" s="1"/>
  <c r="O116" i="2"/>
  <c r="L53" i="13"/>
  <c r="L72" i="13" s="1"/>
  <c r="L57" i="13" s="1"/>
  <c r="X117" i="2" s="1"/>
  <c r="L115" i="7" s="1"/>
  <c r="O115" i="8" s="1"/>
  <c r="L51" i="13"/>
  <c r="L74" i="13" s="1"/>
  <c r="L52" i="13"/>
  <c r="L73" i="13" s="1"/>
  <c r="C225" i="13"/>
  <c r="C247" i="13" s="1"/>
  <c r="C226" i="13"/>
  <c r="C246" i="13" s="1"/>
  <c r="C224" i="13"/>
  <c r="C248" i="13" s="1"/>
  <c r="C223" i="13"/>
  <c r="C249" i="13" s="1"/>
  <c r="M221" i="13"/>
  <c r="M78" i="13"/>
  <c r="M24" i="13"/>
  <c r="M156" i="13"/>
  <c r="M32" i="13"/>
  <c r="M49" i="13"/>
  <c r="M40" i="13"/>
  <c r="M110" i="13"/>
  <c r="M16" i="13"/>
  <c r="M8" i="13"/>
  <c r="Q58" i="4"/>
  <c r="R58" i="4"/>
  <c r="Q83" i="4"/>
  <c r="AE40" i="2"/>
  <c r="N31" i="7"/>
  <c r="Q31" i="8" s="1"/>
  <c r="N5" i="13" s="1"/>
  <c r="AB34" i="2"/>
  <c r="AC33" i="2"/>
  <c r="AA33" i="2"/>
  <c r="AG87" i="4"/>
  <c r="AG62" i="4"/>
  <c r="Q86" i="4"/>
  <c r="Q61" i="4"/>
  <c r="R61" i="4" s="1"/>
  <c r="G132" i="7"/>
  <c r="N135" i="2"/>
  <c r="G133" i="7" s="1"/>
  <c r="J133" i="8" s="1"/>
  <c r="O134" i="2"/>
  <c r="J114" i="7"/>
  <c r="M114" i="8" s="1"/>
  <c r="J54" i="13" s="1"/>
  <c r="U116" i="2"/>
  <c r="M71" i="2"/>
  <c r="J37" i="7"/>
  <c r="M37" i="8" s="1"/>
  <c r="T40" i="2"/>
  <c r="U39" i="2"/>
  <c r="O65" i="4"/>
  <c r="O90" i="4"/>
  <c r="B36" i="8"/>
  <c r="D36" i="8" s="1"/>
  <c r="C38" i="2" s="1"/>
  <c r="B84" i="13"/>
  <c r="I137" i="7"/>
  <c r="L137" i="8" s="1"/>
  <c r="S140" i="2"/>
  <c r="AG84" i="4"/>
  <c r="AG59" i="4"/>
  <c r="G62" i="4"/>
  <c r="H62" i="4" s="1"/>
  <c r="H87" i="4" s="1"/>
  <c r="G87" i="4"/>
  <c r="P221" i="13"/>
  <c r="P49" i="13"/>
  <c r="P40" i="13"/>
  <c r="P156" i="13"/>
  <c r="P110" i="13"/>
  <c r="P16" i="13"/>
  <c r="P8" i="13"/>
  <c r="P24" i="13"/>
  <c r="P32" i="13"/>
  <c r="P78" i="13"/>
  <c r="Q28" i="8"/>
  <c r="F304" i="13"/>
  <c r="F221" i="13"/>
  <c r="F188" i="13"/>
  <c r="F156" i="13"/>
  <c r="F40" i="13"/>
  <c r="F32" i="13"/>
  <c r="F78" i="13"/>
  <c r="F49" i="13"/>
  <c r="F16" i="13"/>
  <c r="F110" i="13"/>
  <c r="F24" i="13"/>
  <c r="F8" i="13"/>
  <c r="J99" i="8"/>
  <c r="G46" i="13" s="1"/>
  <c r="O79" i="8"/>
  <c r="C188" i="13"/>
  <c r="C156" i="13"/>
  <c r="C78" i="13"/>
  <c r="C110" i="13"/>
  <c r="C221" i="13"/>
  <c r="C49" i="13"/>
  <c r="C16" i="13"/>
  <c r="C8" i="13"/>
  <c r="C24" i="13"/>
  <c r="C40" i="13"/>
  <c r="C32" i="13"/>
  <c r="F78" i="8"/>
  <c r="G78" i="8" s="1"/>
  <c r="H78" i="8" s="1"/>
  <c r="I78" i="8" s="1"/>
  <c r="J78" i="8" s="1"/>
  <c r="K78" i="8" s="1"/>
  <c r="L78" i="8" s="1"/>
  <c r="B43" i="8"/>
  <c r="D43" i="8" s="1"/>
  <c r="C45" i="2" s="1"/>
  <c r="B2" i="13"/>
  <c r="B30" i="8"/>
  <c r="D30" i="8" s="1"/>
  <c r="B12" i="13"/>
  <c r="B41" i="13"/>
  <c r="B44" i="13"/>
  <c r="B17" i="13"/>
  <c r="B107" i="8"/>
  <c r="D107" i="8" s="1"/>
  <c r="A147" i="8"/>
  <c r="B157" i="8"/>
  <c r="D157" i="8" s="1"/>
  <c r="C150" i="2" s="1"/>
  <c r="B158" i="8"/>
  <c r="D158" i="8" s="1"/>
  <c r="C151" i="2" s="1"/>
  <c r="K85" i="4"/>
  <c r="K60" i="4"/>
  <c r="L60" i="4" s="1"/>
  <c r="L69" i="4" s="1"/>
  <c r="L70" i="4" s="1"/>
  <c r="N738" i="6"/>
  <c r="F143" i="7"/>
  <c r="I143" i="8" s="1"/>
  <c r="M146" i="2"/>
  <c r="M137" i="7"/>
  <c r="P137" i="8" s="1"/>
  <c r="AA140" i="2"/>
  <c r="H223" i="13"/>
  <c r="H249" i="13" s="1"/>
  <c r="H224" i="13"/>
  <c r="H248" i="13" s="1"/>
  <c r="H225" i="13"/>
  <c r="H247" i="13" s="1"/>
  <c r="H226" i="13"/>
  <c r="H246" i="13" s="1"/>
  <c r="O143" i="7"/>
  <c r="AE146" i="2"/>
  <c r="G138" i="7"/>
  <c r="J138" i="8" s="1"/>
  <c r="G227" i="13" s="1"/>
  <c r="O141" i="2"/>
  <c r="I69" i="7"/>
  <c r="L69" i="8" s="1"/>
  <c r="I43" i="13" s="1"/>
  <c r="S71" i="2"/>
  <c r="C59" i="7"/>
  <c r="F59" i="8" s="1"/>
  <c r="C37" i="13" s="1"/>
  <c r="G61" i="2"/>
  <c r="D31" i="7"/>
  <c r="G31" i="8" s="1"/>
  <c r="D5" i="13" s="1"/>
  <c r="I33" i="2"/>
  <c r="H34" i="2"/>
  <c r="I71" i="2"/>
  <c r="E51" i="13"/>
  <c r="E74" i="13" s="1"/>
  <c r="E53" i="13"/>
  <c r="E72" i="13" s="1"/>
  <c r="E52" i="13"/>
  <c r="E73" i="13" s="1"/>
  <c r="AE90" i="4"/>
  <c r="AE65" i="4"/>
  <c r="F46" i="4"/>
  <c r="F86" i="4" s="1"/>
  <c r="G635" i="6" s="1"/>
  <c r="I635" i="6" s="1"/>
  <c r="E61" i="4"/>
  <c r="E86" i="4"/>
  <c r="Y90" i="4"/>
  <c r="Y65" i="4"/>
  <c r="I63" i="4"/>
  <c r="J63" i="4" s="1"/>
  <c r="J88" i="4" s="1"/>
  <c r="I88" i="4"/>
  <c r="N143" i="7"/>
  <c r="AC146" i="2"/>
  <c r="AC86" i="4"/>
  <c r="AC61" i="4"/>
  <c r="W89" i="4"/>
  <c r="W64" i="4"/>
  <c r="G61" i="4"/>
  <c r="H61" i="4" s="1"/>
  <c r="H86" i="4" s="1"/>
  <c r="G86" i="4"/>
  <c r="G84" i="4"/>
  <c r="G59" i="4"/>
  <c r="H59" i="4" s="1"/>
  <c r="H84" i="4" s="1"/>
  <c r="N141" i="7"/>
  <c r="AC144" i="2"/>
  <c r="I144" i="7"/>
  <c r="L144" i="8" s="1"/>
  <c r="S147" i="2"/>
  <c r="M13" i="4"/>
  <c r="G612" i="6"/>
  <c r="G618" i="6"/>
  <c r="AA64" i="4"/>
  <c r="AA89" i="4"/>
  <c r="M140" i="7"/>
  <c r="P140" i="8" s="1"/>
  <c r="AA143" i="2"/>
  <c r="Y143" i="2"/>
  <c r="H142" i="7"/>
  <c r="K142" i="8" s="1"/>
  <c r="Q145" i="2"/>
  <c r="C114" i="7"/>
  <c r="F114" i="8" s="1"/>
  <c r="C54" i="13" s="1"/>
  <c r="G116" i="2"/>
  <c r="L193" i="13"/>
  <c r="L213" i="13" s="1"/>
  <c r="L190" i="13"/>
  <c r="L216" i="13" s="1"/>
  <c r="L191" i="13"/>
  <c r="L215" i="13" s="1"/>
  <c r="L192" i="13"/>
  <c r="L214" i="13" s="1"/>
  <c r="L159" i="13"/>
  <c r="L183" i="13" s="1"/>
  <c r="L158" i="13"/>
  <c r="L184" i="13" s="1"/>
  <c r="L161" i="13"/>
  <c r="L181" i="13" s="1"/>
  <c r="L114" i="13"/>
  <c r="L136" i="13" s="1"/>
  <c r="L83" i="13"/>
  <c r="L103" i="13" s="1"/>
  <c r="L82" i="13"/>
  <c r="L104" i="13" s="1"/>
  <c r="L113" i="13"/>
  <c r="L137" i="13" s="1"/>
  <c r="L115" i="13"/>
  <c r="L135" i="13" s="1"/>
  <c r="L81" i="13"/>
  <c r="L105" i="13" s="1"/>
  <c r="L80" i="13"/>
  <c r="L106" i="13" s="1"/>
  <c r="L112" i="13"/>
  <c r="L138" i="13" s="1"/>
  <c r="L160" i="13"/>
  <c r="L182" i="13" s="1"/>
  <c r="O69" i="7"/>
  <c r="R69" i="8" s="1"/>
  <c r="O43" i="13" s="1"/>
  <c r="AE71" i="2"/>
  <c r="M59" i="7"/>
  <c r="P59" i="8" s="1"/>
  <c r="M37" i="13" s="1"/>
  <c r="AA61" i="2"/>
  <c r="O40" i="2"/>
  <c r="J31" i="7"/>
  <c r="M31" i="8" s="1"/>
  <c r="J5" i="13" s="1"/>
  <c r="T34" i="2"/>
  <c r="S34" i="2" s="1"/>
  <c r="U33" i="2"/>
  <c r="K33" i="2"/>
  <c r="AG63" i="4"/>
  <c r="AG88" i="4"/>
  <c r="Q62" i="4"/>
  <c r="Q87" i="4"/>
  <c r="N739" i="6"/>
  <c r="N137" i="7"/>
  <c r="AC140" i="2"/>
  <c r="C132" i="7"/>
  <c r="F135" i="2"/>
  <c r="C133" i="7" s="1"/>
  <c r="F133" i="8" s="1"/>
  <c r="G134" i="2"/>
  <c r="F114" i="7"/>
  <c r="I114" i="8" s="1"/>
  <c r="F54" i="13" s="1"/>
  <c r="M116" i="2"/>
  <c r="E71" i="2"/>
  <c r="N94" i="4"/>
  <c r="N70" i="4"/>
  <c r="N95" i="4" s="1"/>
  <c r="O66" i="4"/>
  <c r="P66" i="4" s="1"/>
  <c r="P91" i="4" s="1"/>
  <c r="O91" i="4"/>
  <c r="O179" i="6"/>
  <c r="J19" i="3"/>
  <c r="J195" i="6" s="1"/>
  <c r="C634" i="6"/>
  <c r="E634" i="6" s="1"/>
  <c r="F60" i="4"/>
  <c r="K57" i="13" l="1"/>
  <c r="V117" i="2" s="1"/>
  <c r="K115" i="7" s="1"/>
  <c r="N115" i="8" s="1"/>
  <c r="J57" i="13"/>
  <c r="T117" i="2" s="1"/>
  <c r="J115" i="7" s="1"/>
  <c r="M115" i="8" s="1"/>
  <c r="P142" i="8"/>
  <c r="Q142" i="8" s="1"/>
  <c r="R142" i="8" s="1"/>
  <c r="S142" i="8" s="1"/>
  <c r="C142" i="8" s="1"/>
  <c r="J6" i="12" s="1"/>
  <c r="I13" i="15" s="1"/>
  <c r="G57" i="13"/>
  <c r="N117" i="2" s="1"/>
  <c r="G115" i="7" s="1"/>
  <c r="J115" i="8" s="1"/>
  <c r="P141" i="8"/>
  <c r="Q141" i="8" s="1"/>
  <c r="R141" i="8" s="1"/>
  <c r="S141" i="8" s="1"/>
  <c r="C141" i="8" s="1"/>
  <c r="H6" i="12" s="1"/>
  <c r="I10" i="15" s="1"/>
  <c r="F86" i="13"/>
  <c r="L121" i="2" s="1"/>
  <c r="F119" i="7" s="1"/>
  <c r="I119" i="8" s="1"/>
  <c r="K86" i="13"/>
  <c r="V121" i="2" s="1"/>
  <c r="K119" i="7" s="1"/>
  <c r="N119" i="8" s="1"/>
  <c r="O119" i="8" s="1"/>
  <c r="P119" i="8" s="1"/>
  <c r="Q119" i="8" s="1"/>
  <c r="R119" i="8" s="1"/>
  <c r="S119" i="8" s="1"/>
  <c r="C119" i="8" s="1"/>
  <c r="G86" i="13"/>
  <c r="N121" i="2" s="1"/>
  <c r="G119" i="7" s="1"/>
  <c r="J119" i="8" s="1"/>
  <c r="D86" i="13"/>
  <c r="H121" i="2" s="1"/>
  <c r="D119" i="7" s="1"/>
  <c r="G119" i="8" s="1"/>
  <c r="J86" i="13"/>
  <c r="T121" i="2" s="1"/>
  <c r="J119" i="7" s="1"/>
  <c r="M119" i="8" s="1"/>
  <c r="H86" i="13"/>
  <c r="P121" i="2" s="1"/>
  <c r="H119" i="7" s="1"/>
  <c r="K119" i="8" s="1"/>
  <c r="O145" i="8"/>
  <c r="P145" i="8" s="1"/>
  <c r="Q145" i="8" s="1"/>
  <c r="R145" i="8" s="1"/>
  <c r="S145" i="8" s="1"/>
  <c r="C145" i="8" s="1"/>
  <c r="F7" i="12" s="1"/>
  <c r="I8" i="15" s="1"/>
  <c r="P85" i="3"/>
  <c r="B322" i="13" s="1"/>
  <c r="I57" i="13"/>
  <c r="R117" i="2" s="1"/>
  <c r="I115" i="7" s="1"/>
  <c r="L115" i="8" s="1"/>
  <c r="R69" i="4"/>
  <c r="R70" i="4" s="1"/>
  <c r="C86" i="13"/>
  <c r="F121" i="2" s="1"/>
  <c r="C119" i="7" s="1"/>
  <c r="F119" i="8" s="1"/>
  <c r="Q137" i="8"/>
  <c r="R137" i="8" s="1"/>
  <c r="S137" i="8" s="1"/>
  <c r="C137" i="8" s="1"/>
  <c r="F6" i="12" s="1"/>
  <c r="E86" i="13"/>
  <c r="J121" i="2" s="1"/>
  <c r="E119" i="7" s="1"/>
  <c r="H119" i="8" s="1"/>
  <c r="O105" i="6"/>
  <c r="C14" i="2"/>
  <c r="O103" i="6"/>
  <c r="C11" i="2"/>
  <c r="O109" i="6"/>
  <c r="C18" i="2"/>
  <c r="O111" i="6"/>
  <c r="C20" i="2"/>
  <c r="O110" i="6"/>
  <c r="C19" i="2"/>
  <c r="M78" i="8"/>
  <c r="N78" i="8" s="1"/>
  <c r="O78" i="8" s="1"/>
  <c r="P78" i="8" s="1"/>
  <c r="Q78" i="8" s="1"/>
  <c r="R78" i="8" s="1"/>
  <c r="S78" i="8" s="1"/>
  <c r="C78" i="8" s="1"/>
  <c r="O116" i="6"/>
  <c r="C25" i="2"/>
  <c r="O397" i="6"/>
  <c r="C115" i="2"/>
  <c r="O28" i="13"/>
  <c r="S104" i="8"/>
  <c r="P28" i="13" s="1"/>
  <c r="F14" i="12"/>
  <c r="I616" i="6"/>
  <c r="F7" i="3"/>
  <c r="N32" i="8"/>
  <c r="K4" i="13" s="1"/>
  <c r="C57" i="13"/>
  <c r="F117" i="2" s="1"/>
  <c r="C115" i="7" s="1"/>
  <c r="F115" i="8" s="1"/>
  <c r="L44" i="13"/>
  <c r="P79" i="8"/>
  <c r="N32" i="7"/>
  <c r="Q32" i="8" s="1"/>
  <c r="N4" i="13" s="1"/>
  <c r="AB35" i="2"/>
  <c r="AC34" i="2"/>
  <c r="B70" i="8"/>
  <c r="D70" i="8" s="1"/>
  <c r="C72" i="2" s="1"/>
  <c r="B52" i="8"/>
  <c r="D52" i="8" s="1"/>
  <c r="C54" i="2" s="1"/>
  <c r="B131" i="8"/>
  <c r="D131" i="8" s="1"/>
  <c r="C131" i="8"/>
  <c r="B37" i="8"/>
  <c r="D37" i="8" s="1"/>
  <c r="C39" i="2" s="1"/>
  <c r="M35" i="13"/>
  <c r="Q54" i="8"/>
  <c r="B129" i="8"/>
  <c r="D129" i="8" s="1"/>
  <c r="C107" i="2"/>
  <c r="O226" i="6"/>
  <c r="F11" i="12"/>
  <c r="I613" i="6"/>
  <c r="I38" i="7"/>
  <c r="L38" i="8" s="1"/>
  <c r="S40" i="2"/>
  <c r="B109" i="8"/>
  <c r="D109" i="8" s="1"/>
  <c r="M54" i="13"/>
  <c r="M57" i="13" s="1"/>
  <c r="Z117" i="2" s="1"/>
  <c r="M115" i="7" s="1"/>
  <c r="P115" i="8" s="1"/>
  <c r="Q115" i="8" s="1"/>
  <c r="R115" i="8" s="1"/>
  <c r="S115" i="8" s="1"/>
  <c r="C115" i="8" s="1"/>
  <c r="Q114" i="8"/>
  <c r="B51" i="13"/>
  <c r="B53" i="13"/>
  <c r="B72" i="13" s="1"/>
  <c r="B52" i="13"/>
  <c r="B73" i="13" s="1"/>
  <c r="F17" i="12"/>
  <c r="I619" i="6"/>
  <c r="C640" i="6"/>
  <c r="E640" i="6" s="1"/>
  <c r="F66" i="4"/>
  <c r="B108" i="8"/>
  <c r="D108" i="8" s="1"/>
  <c r="L84" i="13"/>
  <c r="L86" i="13" s="1"/>
  <c r="P117" i="8"/>
  <c r="B95" i="8"/>
  <c r="D95" i="8" s="1"/>
  <c r="C97" i="2" s="1"/>
  <c r="P65" i="4"/>
  <c r="O8" i="4"/>
  <c r="O74" i="4" s="1"/>
  <c r="T143" i="2" s="1"/>
  <c r="L65" i="4"/>
  <c r="K9" i="4" s="1"/>
  <c r="K10" i="4" s="1"/>
  <c r="K8" i="4"/>
  <c r="C641" i="6"/>
  <c r="E641" i="6" s="1"/>
  <c r="F67" i="4"/>
  <c r="F16" i="12"/>
  <c r="I618" i="6"/>
  <c r="B323" i="13"/>
  <c r="P738" i="6"/>
  <c r="J38" i="7"/>
  <c r="M38" i="8" s="1"/>
  <c r="U40" i="2"/>
  <c r="O165" i="6"/>
  <c r="C42" i="2"/>
  <c r="M33" i="7"/>
  <c r="P33" i="8" s="1"/>
  <c r="M3" i="13" s="1"/>
  <c r="AA35" i="2"/>
  <c r="O243" i="6"/>
  <c r="C109" i="2"/>
  <c r="H69" i="4"/>
  <c r="H93" i="4"/>
  <c r="M740" i="6"/>
  <c r="H128" i="3"/>
  <c r="H127" i="3"/>
  <c r="H130" i="3"/>
  <c r="H129" i="3"/>
  <c r="M67" i="3"/>
  <c r="H126" i="3"/>
  <c r="C636" i="6"/>
  <c r="E636" i="6" s="1"/>
  <c r="F62" i="4"/>
  <c r="B104" i="8"/>
  <c r="D104" i="8" s="1"/>
  <c r="N20" i="13"/>
  <c r="R110" i="8"/>
  <c r="C33" i="7"/>
  <c r="F33" i="8" s="1"/>
  <c r="C3" i="13" s="1"/>
  <c r="R144" i="8"/>
  <c r="S144" i="8" s="1"/>
  <c r="C144" i="8" s="1"/>
  <c r="O113" i="6"/>
  <c r="C22" i="2"/>
  <c r="O159" i="6"/>
  <c r="C37" i="2"/>
  <c r="O18" i="13"/>
  <c r="S108" i="8"/>
  <c r="P18" i="13" s="1"/>
  <c r="J65" i="4"/>
  <c r="I8" i="4"/>
  <c r="I74" i="4" s="1"/>
  <c r="N143" i="2" s="1"/>
  <c r="I33" i="13"/>
  <c r="M46" i="8"/>
  <c r="I42" i="13"/>
  <c r="M68" i="8"/>
  <c r="I35" i="13"/>
  <c r="M54" i="8"/>
  <c r="J35" i="13" s="1"/>
  <c r="B74" i="8"/>
  <c r="D74" i="8" s="1"/>
  <c r="C76" i="2" s="1"/>
  <c r="N10" i="13"/>
  <c r="R26" i="8"/>
  <c r="E114" i="8"/>
  <c r="D399" i="6"/>
  <c r="B192" i="13"/>
  <c r="B214" i="13" s="1"/>
  <c r="B193" i="13"/>
  <c r="B213" i="13" s="1"/>
  <c r="B161" i="13"/>
  <c r="B181" i="13" s="1"/>
  <c r="B191" i="13"/>
  <c r="B215" i="13" s="1"/>
  <c r="B81" i="13"/>
  <c r="B105" i="13" s="1"/>
  <c r="B190" i="13"/>
  <c r="B114" i="13"/>
  <c r="B136" i="13" s="1"/>
  <c r="B82" i="13"/>
  <c r="B104" i="13" s="1"/>
  <c r="B158" i="13"/>
  <c r="B160" i="13"/>
  <c r="B182" i="13" s="1"/>
  <c r="B113" i="13"/>
  <c r="B137" i="13" s="1"/>
  <c r="B115" i="13"/>
  <c r="B135" i="13" s="1"/>
  <c r="B159" i="13"/>
  <c r="B183" i="13" s="1"/>
  <c r="B112" i="13"/>
  <c r="B83" i="13"/>
  <c r="B103" i="13" s="1"/>
  <c r="B80" i="13"/>
  <c r="B87" i="8"/>
  <c r="D87" i="8" s="1"/>
  <c r="C89" i="2" s="1"/>
  <c r="L45" i="13"/>
  <c r="P89" i="8"/>
  <c r="AA34" i="2"/>
  <c r="O114" i="6"/>
  <c r="C23" i="2"/>
  <c r="B38" i="7"/>
  <c r="E38" i="8" s="1"/>
  <c r="E40" i="2"/>
  <c r="O2" i="13"/>
  <c r="S8" i="8"/>
  <c r="N11" i="13"/>
  <c r="R27" i="8"/>
  <c r="C255" i="13"/>
  <c r="L592" i="6"/>
  <c r="I41" i="13"/>
  <c r="M64" i="8"/>
  <c r="J41" i="13" s="1"/>
  <c r="O33" i="7"/>
  <c r="R33" i="8" s="1"/>
  <c r="O3" i="13" s="1"/>
  <c r="AE35" i="2"/>
  <c r="F10" i="12"/>
  <c r="I612" i="6"/>
  <c r="C164" i="8"/>
  <c r="C128" i="8"/>
  <c r="C161" i="8"/>
  <c r="C111" i="8"/>
  <c r="C166" i="8"/>
  <c r="C158" i="8"/>
  <c r="C163" i="8"/>
  <c r="N5" i="11"/>
  <c r="N6" i="11" s="1"/>
  <c r="C160" i="8"/>
  <c r="C109" i="8"/>
  <c r="C98" i="8"/>
  <c r="C90" i="8"/>
  <c r="C82" i="8"/>
  <c r="C74" i="8"/>
  <c r="C159" i="8"/>
  <c r="C104" i="8"/>
  <c r="C101" i="8"/>
  <c r="C92" i="8"/>
  <c r="C84" i="8"/>
  <c r="C76" i="8"/>
  <c r="C162" i="8"/>
  <c r="C107" i="8"/>
  <c r="C97" i="8"/>
  <c r="C81" i="8"/>
  <c r="C73" i="8"/>
  <c r="C65" i="8"/>
  <c r="C94" i="8"/>
  <c r="C88" i="8"/>
  <c r="C102" i="8"/>
  <c r="C75" i="8"/>
  <c r="C72" i="8"/>
  <c r="K5" i="11"/>
  <c r="K6" i="11" s="1"/>
  <c r="C83" i="8"/>
  <c r="C77" i="8"/>
  <c r="H5" i="11"/>
  <c r="H6" i="11" s="1"/>
  <c r="C157" i="8"/>
  <c r="C113" i="8"/>
  <c r="C91" i="8"/>
  <c r="C87" i="8"/>
  <c r="C85" i="8"/>
  <c r="C66" i="8"/>
  <c r="C93" i="8"/>
  <c r="C69" i="8"/>
  <c r="C37" i="8"/>
  <c r="F42" i="3" s="1"/>
  <c r="F693" i="6" s="1"/>
  <c r="C29" i="8"/>
  <c r="C20" i="8"/>
  <c r="C12" i="8"/>
  <c r="C67" i="8"/>
  <c r="C59" i="8"/>
  <c r="C51" i="8"/>
  <c r="C43" i="8"/>
  <c r="C34" i="8"/>
  <c r="C17" i="8"/>
  <c r="C80" i="8"/>
  <c r="C56" i="8"/>
  <c r="C48" i="8"/>
  <c r="C39" i="8"/>
  <c r="C31" i="8"/>
  <c r="F5" i="12" s="1"/>
  <c r="I6" i="15" s="1"/>
  <c r="C22" i="8"/>
  <c r="C14" i="8"/>
  <c r="C165" i="8"/>
  <c r="C96" i="8"/>
  <c r="C53" i="8"/>
  <c r="C45" i="8"/>
  <c r="C36" i="8"/>
  <c r="F44" i="3" s="1"/>
  <c r="F695" i="6" s="1"/>
  <c r="C19" i="8"/>
  <c r="C11" i="8"/>
  <c r="C6" i="8"/>
  <c r="C42" i="8"/>
  <c r="C16" i="8"/>
  <c r="C105" i="8"/>
  <c r="C61" i="8"/>
  <c r="C52" i="8"/>
  <c r="C44" i="8"/>
  <c r="C35" i="8"/>
  <c r="C40" i="8"/>
  <c r="C15" i="8"/>
  <c r="C62" i="8"/>
  <c r="C38" i="8"/>
  <c r="C95" i="8"/>
  <c r="C49" i="8"/>
  <c r="C18" i="8"/>
  <c r="C103" i="8"/>
  <c r="C47" i="8"/>
  <c r="C30" i="8"/>
  <c r="C3" i="8"/>
  <c r="N92" i="6" s="1"/>
  <c r="C86" i="8"/>
  <c r="C57" i="8"/>
  <c r="C21" i="8"/>
  <c r="C4" i="8"/>
  <c r="N94" i="6" s="1"/>
  <c r="K822" i="6"/>
  <c r="C129" i="8"/>
  <c r="C71" i="8"/>
  <c r="C63" i="8"/>
  <c r="C55" i="8"/>
  <c r="C2" i="8"/>
  <c r="C13" i="8"/>
  <c r="C9" i="8"/>
  <c r="C5" i="8"/>
  <c r="D94" i="6" s="1"/>
  <c r="C1" i="8"/>
  <c r="C657" i="6" s="1"/>
  <c r="C70" i="8"/>
  <c r="K349" i="6"/>
  <c r="M100" i="6"/>
  <c r="C23" i="8"/>
  <c r="G100" i="6"/>
  <c r="C9" i="2"/>
  <c r="J100" i="6"/>
  <c r="C637" i="6"/>
  <c r="E637" i="6" s="1"/>
  <c r="F63" i="4"/>
  <c r="L32" i="7"/>
  <c r="O32" i="8" s="1"/>
  <c r="L4" i="13" s="1"/>
  <c r="Y34" i="2"/>
  <c r="X35" i="2"/>
  <c r="F132" i="8"/>
  <c r="O107" i="6"/>
  <c r="C16" i="2"/>
  <c r="F314" i="13"/>
  <c r="J153" i="8"/>
  <c r="K153" i="8" s="1"/>
  <c r="L46" i="13"/>
  <c r="P99" i="8"/>
  <c r="F64" i="4"/>
  <c r="C638" i="6"/>
  <c r="E638" i="6" s="1"/>
  <c r="J13" i="15"/>
  <c r="G21" i="12"/>
  <c r="B102" i="8"/>
  <c r="D102" i="8" s="1"/>
  <c r="F22" i="12"/>
  <c r="I624" i="6"/>
  <c r="I45" i="13"/>
  <c r="M89" i="8"/>
  <c r="J45" i="13" s="1"/>
  <c r="B67" i="8"/>
  <c r="D67" i="8" s="1"/>
  <c r="C69" i="2" s="1"/>
  <c r="C642" i="6"/>
  <c r="E642" i="6" s="1"/>
  <c r="F68" i="4"/>
  <c r="F69" i="4" s="1"/>
  <c r="I33" i="7"/>
  <c r="L33" i="8" s="1"/>
  <c r="I3" i="13" s="1"/>
  <c r="B56" i="8"/>
  <c r="D56" i="8" s="1"/>
  <c r="C58" i="2" s="1"/>
  <c r="B32" i="7"/>
  <c r="D35" i="2"/>
  <c r="E34" i="2"/>
  <c r="J4" i="15"/>
  <c r="G12" i="12"/>
  <c r="B59" i="8"/>
  <c r="D59" i="8" s="1"/>
  <c r="J12" i="15"/>
  <c r="G20" i="12"/>
  <c r="F32" i="7"/>
  <c r="I32" i="8" s="1"/>
  <c r="F4" i="13" s="1"/>
  <c r="L35" i="2"/>
  <c r="M34" i="2"/>
  <c r="M34" i="13"/>
  <c r="Q50" i="8"/>
  <c r="B75" i="8"/>
  <c r="D75" i="8" s="1"/>
  <c r="C77" i="2" s="1"/>
  <c r="B45" i="8"/>
  <c r="D45" i="8" s="1"/>
  <c r="C47" i="2" s="1"/>
  <c r="F57" i="13"/>
  <c r="L117" i="2" s="1"/>
  <c r="F115" i="7" s="1"/>
  <c r="I115" i="8" s="1"/>
  <c r="B162" i="13"/>
  <c r="F130" i="8"/>
  <c r="O222" i="6"/>
  <c r="C103" i="2"/>
  <c r="I46" i="13"/>
  <c r="M99" i="8"/>
  <c r="J46" i="13" s="1"/>
  <c r="J312" i="13"/>
  <c r="N151" i="8"/>
  <c r="B83" i="8"/>
  <c r="D83" i="8" s="1"/>
  <c r="C85" i="2" s="1"/>
  <c r="J11" i="15"/>
  <c r="G19" i="12"/>
  <c r="B224" i="13"/>
  <c r="B248" i="13" s="1"/>
  <c r="B225" i="13"/>
  <c r="B247" i="13" s="1"/>
  <c r="B226" i="13"/>
  <c r="B246" i="13" s="1"/>
  <c r="B223" i="13"/>
  <c r="H32" i="7"/>
  <c r="K32" i="8" s="1"/>
  <c r="H4" i="13" s="1"/>
  <c r="Q34" i="2"/>
  <c r="P35" i="2"/>
  <c r="K227" i="13"/>
  <c r="O138" i="8"/>
  <c r="L227" i="13" s="1"/>
  <c r="O115" i="6"/>
  <c r="C24" i="2"/>
  <c r="Q140" i="8"/>
  <c r="R140" i="8" s="1"/>
  <c r="S140" i="8" s="1"/>
  <c r="C140" i="8" s="1"/>
  <c r="H7" i="12" s="1"/>
  <c r="I11" i="15" s="1"/>
  <c r="E38" i="7"/>
  <c r="H38" i="8" s="1"/>
  <c r="K40" i="2"/>
  <c r="L42" i="13"/>
  <c r="P68" i="8"/>
  <c r="G33" i="7"/>
  <c r="J33" i="8" s="1"/>
  <c r="G3" i="13" s="1"/>
  <c r="O35" i="2"/>
  <c r="J93" i="4"/>
  <c r="J69" i="4"/>
  <c r="O157" i="6"/>
  <c r="C36" i="2"/>
  <c r="D483" i="6"/>
  <c r="C586" i="6"/>
  <c r="E581" i="6"/>
  <c r="C578" i="6"/>
  <c r="E573" i="6"/>
  <c r="C570" i="6"/>
  <c r="C567" i="6"/>
  <c r="E584" i="6"/>
  <c r="C581" i="6"/>
  <c r="E576" i="6"/>
  <c r="C573" i="6"/>
  <c r="E568" i="6"/>
  <c r="C585" i="6"/>
  <c r="C583" i="6"/>
  <c r="C577" i="6"/>
  <c r="C575" i="6"/>
  <c r="C569" i="6"/>
  <c r="E567" i="6"/>
  <c r="E586" i="6"/>
  <c r="C584" i="6"/>
  <c r="E582" i="6"/>
  <c r="E580" i="6"/>
  <c r="E578" i="6"/>
  <c r="C576" i="6"/>
  <c r="E574" i="6"/>
  <c r="E572" i="6"/>
  <c r="E570" i="6"/>
  <c r="C568" i="6"/>
  <c r="C582" i="6"/>
  <c r="C580" i="6"/>
  <c r="C574" i="6"/>
  <c r="C572" i="6"/>
  <c r="C587" i="6"/>
  <c r="E585" i="6"/>
  <c r="E583" i="6"/>
  <c r="C579" i="6"/>
  <c r="E577" i="6"/>
  <c r="E575" i="6"/>
  <c r="C571" i="6"/>
  <c r="E569" i="6"/>
  <c r="E587" i="6"/>
  <c r="E579" i="6"/>
  <c r="E571" i="6"/>
  <c r="L38" i="7"/>
  <c r="O38" i="8" s="1"/>
  <c r="Y40" i="2"/>
  <c r="E33" i="7"/>
  <c r="H33" i="8" s="1"/>
  <c r="E3" i="13" s="1"/>
  <c r="K35" i="2"/>
  <c r="E57" i="13"/>
  <c r="J117" i="2" s="1"/>
  <c r="E115" i="7" s="1"/>
  <c r="H115" i="8" s="1"/>
  <c r="A313" i="13"/>
  <c r="D313" i="13"/>
  <c r="B66" i="8"/>
  <c r="D66" i="8" s="1"/>
  <c r="C68" i="2" s="1"/>
  <c r="R65" i="4"/>
  <c r="Q9" i="4" s="1"/>
  <c r="Q10" i="4" s="1"/>
  <c r="Q8" i="4"/>
  <c r="B53" i="8"/>
  <c r="D53" i="8" s="1"/>
  <c r="C55" i="2" s="1"/>
  <c r="P69" i="4"/>
  <c r="P93" i="4"/>
  <c r="J10" i="15"/>
  <c r="G18" i="12"/>
  <c r="J32" i="7"/>
  <c r="M32" i="8" s="1"/>
  <c r="J4" i="13" s="1"/>
  <c r="T35" i="2"/>
  <c r="S35" i="2" s="1"/>
  <c r="U34" i="2"/>
  <c r="C639" i="6"/>
  <c r="E639" i="6" s="1"/>
  <c r="F65" i="4"/>
  <c r="E9" i="4" s="1"/>
  <c r="E8" i="4"/>
  <c r="B194" i="13"/>
  <c r="O224" i="6"/>
  <c r="C105" i="2"/>
  <c r="M41" i="13"/>
  <c r="Q64" i="8"/>
  <c r="G8" i="4"/>
  <c r="H65" i="4"/>
  <c r="I315" i="13"/>
  <c r="M154" i="8"/>
  <c r="O108" i="6"/>
  <c r="C17" i="2"/>
  <c r="B72" i="8"/>
  <c r="D72" i="8" s="1"/>
  <c r="C74" i="2" s="1"/>
  <c r="O151" i="6"/>
  <c r="C32" i="2"/>
  <c r="F15" i="12"/>
  <c r="I617" i="6"/>
  <c r="O112" i="6"/>
  <c r="C21" i="2"/>
  <c r="C633" i="6"/>
  <c r="E633" i="6" s="1"/>
  <c r="F59" i="4"/>
  <c r="B98" i="8"/>
  <c r="D98" i="8" s="1"/>
  <c r="C100" i="2" s="1"/>
  <c r="L33" i="13"/>
  <c r="P46" i="8"/>
  <c r="P32" i="7"/>
  <c r="S32" i="8" s="1"/>
  <c r="P4" i="13" s="1"/>
  <c r="AF35" i="2"/>
  <c r="P33" i="7" s="1"/>
  <c r="S33" i="8" s="1"/>
  <c r="P3" i="13" s="1"/>
  <c r="B111" i="8"/>
  <c r="D111" i="8" s="1"/>
  <c r="D484" i="6"/>
  <c r="O162" i="6"/>
  <c r="C41" i="2"/>
  <c r="W34" i="2"/>
  <c r="K34" i="2"/>
  <c r="C133" i="8"/>
  <c r="B133" i="8"/>
  <c r="D133" i="8" s="1"/>
  <c r="I34" i="13"/>
  <c r="M50" i="8"/>
  <c r="J34" i="13" s="1"/>
  <c r="I313" i="13"/>
  <c r="M152" i="8"/>
  <c r="I305" i="13"/>
  <c r="M150" i="8"/>
  <c r="B159" i="8"/>
  <c r="D159" i="8" s="1"/>
  <c r="C152" i="2" s="1"/>
  <c r="P143" i="8"/>
  <c r="Q143" i="8" s="1"/>
  <c r="R143" i="8" s="1"/>
  <c r="S143" i="8" s="1"/>
  <c r="C143" i="8" s="1"/>
  <c r="B76" i="8"/>
  <c r="D76" i="8" s="1"/>
  <c r="C78" i="2" s="1"/>
  <c r="B42" i="8"/>
  <c r="D42" i="8" s="1"/>
  <c r="C44" i="2" s="1"/>
  <c r="B5" i="13"/>
  <c r="H287" i="13" s="1"/>
  <c r="B31" i="8"/>
  <c r="D31" i="8" s="1"/>
  <c r="B165" i="8"/>
  <c r="D165" i="8" s="1"/>
  <c r="C158" i="2" s="1"/>
  <c r="I44" i="13"/>
  <c r="M79" i="8"/>
  <c r="J44" i="13" s="1"/>
  <c r="H289" i="13"/>
  <c r="F13" i="12"/>
  <c r="I615" i="6"/>
  <c r="K38" i="7"/>
  <c r="N38" i="8" s="1"/>
  <c r="W40" i="2"/>
  <c r="M38" i="7"/>
  <c r="P38" i="8" s="1"/>
  <c r="AA40" i="2"/>
  <c r="B62" i="8"/>
  <c r="D62" i="8" s="1"/>
  <c r="C64" i="2" s="1"/>
  <c r="O104" i="6"/>
  <c r="C13" i="2"/>
  <c r="L36" i="13"/>
  <c r="P58" i="8"/>
  <c r="N9" i="13"/>
  <c r="R25" i="8"/>
  <c r="P87" i="3"/>
  <c r="C635" i="6"/>
  <c r="E635" i="6" s="1"/>
  <c r="F61" i="4"/>
  <c r="D32" i="7"/>
  <c r="G32" i="8" s="1"/>
  <c r="D4" i="13" s="1"/>
  <c r="I34" i="2"/>
  <c r="H35" i="2"/>
  <c r="G35" i="2" s="1"/>
  <c r="B61" i="8"/>
  <c r="D61" i="8" s="1"/>
  <c r="C63" i="2" s="1"/>
  <c r="N12" i="13"/>
  <c r="R28" i="8"/>
  <c r="B69" i="8"/>
  <c r="D69" i="8" s="1"/>
  <c r="O106" i="6"/>
  <c r="C15" i="2"/>
  <c r="B48" i="8"/>
  <c r="D48" i="8" s="1"/>
  <c r="C50" i="2" s="1"/>
  <c r="D38" i="7"/>
  <c r="G38" i="8" s="1"/>
  <c r="I40" i="2"/>
  <c r="B85" i="8"/>
  <c r="D85" i="8" s="1"/>
  <c r="C87" i="2" s="1"/>
  <c r="Q40" i="2"/>
  <c r="C618" i="6"/>
  <c r="E618" i="6" s="1"/>
  <c r="I587" i="6"/>
  <c r="G584" i="6"/>
  <c r="I579" i="6"/>
  <c r="G576" i="6"/>
  <c r="I571" i="6"/>
  <c r="G568" i="6"/>
  <c r="C621" i="6"/>
  <c r="E621" i="6" s="1"/>
  <c r="C613" i="6"/>
  <c r="E613" i="6" s="1"/>
  <c r="G587" i="6"/>
  <c r="I582" i="6"/>
  <c r="G579" i="6"/>
  <c r="I574" i="6"/>
  <c r="G571" i="6"/>
  <c r="C616" i="6"/>
  <c r="E616" i="6" s="1"/>
  <c r="C614" i="6"/>
  <c r="E614" i="6" s="1"/>
  <c r="C612" i="6"/>
  <c r="E612" i="6" s="1"/>
  <c r="I586" i="6"/>
  <c r="I580" i="6"/>
  <c r="I578" i="6"/>
  <c r="I572" i="6"/>
  <c r="I570" i="6"/>
  <c r="G589" i="6"/>
  <c r="G588" i="6"/>
  <c r="C619" i="6"/>
  <c r="E619" i="6" s="1"/>
  <c r="C617" i="6"/>
  <c r="E617" i="6" s="1"/>
  <c r="C615" i="6"/>
  <c r="E615" i="6" s="1"/>
  <c r="K587" i="6"/>
  <c r="I585" i="6"/>
  <c r="I583" i="6"/>
  <c r="I577" i="6"/>
  <c r="I575" i="6"/>
  <c r="I569" i="6"/>
  <c r="K567" i="6"/>
  <c r="G581" i="6"/>
  <c r="G573" i="6"/>
  <c r="G567" i="6"/>
  <c r="C622" i="6"/>
  <c r="E622" i="6" s="1"/>
  <c r="G585" i="6"/>
  <c r="I581" i="6"/>
  <c r="G577" i="6"/>
  <c r="I573" i="6"/>
  <c r="G569" i="6"/>
  <c r="C620" i="6"/>
  <c r="E620" i="6" s="1"/>
  <c r="I584" i="6"/>
  <c r="G580" i="6"/>
  <c r="I576" i="6"/>
  <c r="G572" i="6"/>
  <c r="I568" i="6"/>
  <c r="G590" i="6"/>
  <c r="G583" i="6"/>
  <c r="G575" i="6"/>
  <c r="I567" i="6"/>
  <c r="G574" i="6"/>
  <c r="G586" i="6"/>
  <c r="G578" i="6"/>
  <c r="G570" i="6"/>
  <c r="G582" i="6"/>
  <c r="B29" i="8"/>
  <c r="D29" i="8" s="1"/>
  <c r="K33" i="7"/>
  <c r="W35" i="2"/>
  <c r="I221" i="13"/>
  <c r="I110" i="13"/>
  <c r="I156" i="13"/>
  <c r="I78" i="13"/>
  <c r="I49" i="13"/>
  <c r="I24" i="13"/>
  <c r="I40" i="13"/>
  <c r="I32" i="13"/>
  <c r="I16" i="13"/>
  <c r="I8" i="13"/>
  <c r="I36" i="13"/>
  <c r="M58" i="8"/>
  <c r="I86" i="13"/>
  <c r="R121" i="2" s="1"/>
  <c r="I119" i="7" s="1"/>
  <c r="L119" i="8" s="1"/>
  <c r="B84" i="8"/>
  <c r="D84" i="8" s="1"/>
  <c r="C86" i="2" s="1"/>
  <c r="B65" i="8"/>
  <c r="D65" i="8" s="1"/>
  <c r="C67" i="2" s="1"/>
  <c r="AE34" i="2"/>
  <c r="M116" i="13"/>
  <c r="Q118" i="8"/>
  <c r="C38" i="7"/>
  <c r="F38" i="8" s="1"/>
  <c r="G40" i="2"/>
  <c r="B94" i="8"/>
  <c r="D94" i="8" s="1"/>
  <c r="C96" i="2" s="1"/>
  <c r="B55" i="8"/>
  <c r="D55" i="8" s="1"/>
  <c r="C57" i="2" s="1"/>
  <c r="B86" i="8"/>
  <c r="D86" i="8" s="1"/>
  <c r="C88" i="2" s="1"/>
  <c r="B166" i="8"/>
  <c r="D166" i="8" s="1"/>
  <c r="C159" i="2" s="1"/>
  <c r="B128" i="8"/>
  <c r="D128" i="8" s="1"/>
  <c r="B81" i="8"/>
  <c r="D81" i="8" s="1"/>
  <c r="C83" i="2" s="1"/>
  <c r="P737" i="6" l="1"/>
  <c r="J36" i="13"/>
  <c r="B106" i="13"/>
  <c r="B86" i="13" s="1"/>
  <c r="D121" i="2" s="1"/>
  <c r="B119" i="7" s="1"/>
  <c r="O247" i="6"/>
  <c r="C113" i="2"/>
  <c r="J7" i="15"/>
  <c r="G15" i="12"/>
  <c r="B196" i="13"/>
  <c r="H291" i="13"/>
  <c r="E32" i="8"/>
  <c r="D154" i="6"/>
  <c r="H314" i="13"/>
  <c r="L153" i="8"/>
  <c r="G285" i="13"/>
  <c r="G294" i="13" s="1"/>
  <c r="E657" i="6"/>
  <c r="G690" i="6"/>
  <c r="P2" i="13"/>
  <c r="B8" i="8"/>
  <c r="D8" i="8" s="1"/>
  <c r="B54" i="13"/>
  <c r="B57" i="13" s="1"/>
  <c r="D117" i="2" s="1"/>
  <c r="B115" i="7" s="1"/>
  <c r="J42" i="13"/>
  <c r="J140" i="7"/>
  <c r="M140" i="8" s="1"/>
  <c r="U143" i="2"/>
  <c r="S143" i="2"/>
  <c r="O487" i="6"/>
  <c r="C131" i="2"/>
  <c r="M44" i="13"/>
  <c r="Q79" i="8"/>
  <c r="B143" i="8"/>
  <c r="D143" i="8" s="1"/>
  <c r="O9" i="13"/>
  <c r="S25" i="8"/>
  <c r="J5" i="15"/>
  <c r="G13" i="12"/>
  <c r="N41" i="13"/>
  <c r="R64" i="8"/>
  <c r="P90" i="4"/>
  <c r="O9" i="4"/>
  <c r="J6" i="15"/>
  <c r="G14" i="12"/>
  <c r="O12" i="13"/>
  <c r="S28" i="8"/>
  <c r="B28" i="8" s="1"/>
  <c r="D28" i="8" s="1"/>
  <c r="E75" i="4"/>
  <c r="J144" i="2" s="1"/>
  <c r="E10" i="4"/>
  <c r="E76" i="4" s="1"/>
  <c r="J145" i="2" s="1"/>
  <c r="J94" i="4"/>
  <c r="J70" i="4"/>
  <c r="J95" i="4" s="1"/>
  <c r="O223" i="6"/>
  <c r="C104" i="2"/>
  <c r="J33" i="13"/>
  <c r="B328" i="13"/>
  <c r="M718" i="6"/>
  <c r="H67" i="3"/>
  <c r="N35" i="13"/>
  <c r="R54" i="8"/>
  <c r="J305" i="13"/>
  <c r="N150" i="8"/>
  <c r="B33" i="7"/>
  <c r="E35" i="2"/>
  <c r="O244" i="6"/>
  <c r="C110" i="2"/>
  <c r="K17" i="11"/>
  <c r="K11" i="11"/>
  <c r="J527" i="6"/>
  <c r="J478" i="6"/>
  <c r="J306" i="6"/>
  <c r="J263" i="6"/>
  <c r="J241" i="6"/>
  <c r="J220" i="6"/>
  <c r="J116" i="6"/>
  <c r="J115" i="6"/>
  <c r="J114" i="6"/>
  <c r="J113" i="6"/>
  <c r="J112" i="6"/>
  <c r="J111" i="6"/>
  <c r="J110" i="6"/>
  <c r="J109" i="6"/>
  <c r="J108" i="6"/>
  <c r="J107" i="6"/>
  <c r="J106" i="6"/>
  <c r="J105" i="6"/>
  <c r="J104" i="6"/>
  <c r="J103" i="6"/>
  <c r="J102" i="6"/>
  <c r="J395" i="6"/>
  <c r="J435" i="6"/>
  <c r="J101" i="6"/>
  <c r="J144" i="6"/>
  <c r="B216" i="13"/>
  <c r="H94" i="4"/>
  <c r="H70" i="4"/>
  <c r="H95" i="4" s="1"/>
  <c r="C71" i="2"/>
  <c r="O312" i="6"/>
  <c r="O152" i="6"/>
  <c r="C33" i="2"/>
  <c r="J315" i="13"/>
  <c r="N154" i="8"/>
  <c r="H33" i="7"/>
  <c r="K33" i="8" s="1"/>
  <c r="H3" i="13" s="1"/>
  <c r="Q35" i="2"/>
  <c r="N34" i="13"/>
  <c r="R50" i="8"/>
  <c r="O273" i="6"/>
  <c r="C61" i="2"/>
  <c r="L33" i="7"/>
  <c r="O33" i="8" s="1"/>
  <c r="L3" i="13" s="1"/>
  <c r="Y35" i="2"/>
  <c r="H17" i="11"/>
  <c r="H11" i="11"/>
  <c r="G395" i="6"/>
  <c r="G527" i="6"/>
  <c r="G435" i="6"/>
  <c r="G101" i="6"/>
  <c r="G478" i="6"/>
  <c r="G306" i="6"/>
  <c r="G263" i="6"/>
  <c r="G241" i="6"/>
  <c r="G220" i="6"/>
  <c r="G144" i="6"/>
  <c r="G115" i="6"/>
  <c r="G111" i="6"/>
  <c r="G107" i="6"/>
  <c r="G103" i="6"/>
  <c r="G114" i="6"/>
  <c r="G110" i="6"/>
  <c r="G106" i="6"/>
  <c r="G102" i="6"/>
  <c r="G113" i="6"/>
  <c r="G109" i="6"/>
  <c r="G105" i="6"/>
  <c r="G108" i="6"/>
  <c r="G104" i="6"/>
  <c r="G112" i="6"/>
  <c r="G116" i="6"/>
  <c r="K823" i="6"/>
  <c r="K866" i="6" s="1"/>
  <c r="K865" i="6"/>
  <c r="K844" i="6"/>
  <c r="K824" i="6"/>
  <c r="J7" i="12"/>
  <c r="I14" i="15" s="1"/>
  <c r="N42" i="3"/>
  <c r="J15" i="15"/>
  <c r="N93" i="6"/>
  <c r="B38" i="8"/>
  <c r="D38" i="8" s="1"/>
  <c r="C40" i="2" s="1"/>
  <c r="H783" i="6"/>
  <c r="D142" i="3"/>
  <c r="J9" i="15"/>
  <c r="G17" i="12"/>
  <c r="N54" i="13"/>
  <c r="N57" i="13" s="1"/>
  <c r="R114" i="8"/>
  <c r="J3" i="15"/>
  <c r="G11" i="12"/>
  <c r="B249" i="13"/>
  <c r="B222" i="13"/>
  <c r="B164" i="13"/>
  <c r="H292" i="13"/>
  <c r="C111" i="2"/>
  <c r="O245" i="6"/>
  <c r="B143" i="13"/>
  <c r="F180" i="6"/>
  <c r="O7" i="3"/>
  <c r="P94" i="4"/>
  <c r="P70" i="4"/>
  <c r="P95" i="4" s="1"/>
  <c r="C194" i="13"/>
  <c r="C196" i="13" s="1"/>
  <c r="G132" i="8"/>
  <c r="B138" i="13"/>
  <c r="M118" i="13" s="1"/>
  <c r="F8" i="3"/>
  <c r="N33" i="8"/>
  <c r="K3" i="13" s="1"/>
  <c r="M36" i="13"/>
  <c r="Q58" i="8"/>
  <c r="M33" i="13"/>
  <c r="Q46" i="8"/>
  <c r="C32" i="8"/>
  <c r="J5" i="12" s="1"/>
  <c r="I12" i="15" s="1"/>
  <c r="I7" i="15"/>
  <c r="D16" i="12"/>
  <c r="E16" i="12" s="1"/>
  <c r="D19" i="12"/>
  <c r="E19" i="12" s="1"/>
  <c r="D11" i="12"/>
  <c r="E11" i="12" s="1"/>
  <c r="D20" i="12"/>
  <c r="E20" i="12" s="1"/>
  <c r="D17" i="12"/>
  <c r="E17" i="12" s="1"/>
  <c r="D15" i="12"/>
  <c r="E15" i="12" s="1"/>
  <c r="D13" i="12"/>
  <c r="E13" i="12" s="1"/>
  <c r="D14" i="12"/>
  <c r="E14" i="12" s="1"/>
  <c r="D12" i="12"/>
  <c r="E12" i="12" s="1"/>
  <c r="D10" i="12"/>
  <c r="E10" i="12" s="1"/>
  <c r="D18" i="12"/>
  <c r="E18" i="12" s="1"/>
  <c r="O20" i="13"/>
  <c r="S110" i="8"/>
  <c r="B110" i="8"/>
  <c r="D110" i="8" s="1"/>
  <c r="H784" i="6"/>
  <c r="I142" i="3"/>
  <c r="J8" i="15"/>
  <c r="G16" i="12"/>
  <c r="B144" i="8"/>
  <c r="D144" i="8" s="1"/>
  <c r="J33" i="7"/>
  <c r="M33" i="8" s="1"/>
  <c r="J3" i="13" s="1"/>
  <c r="U35" i="2"/>
  <c r="M45" i="13"/>
  <c r="Q89" i="8"/>
  <c r="O150" i="6"/>
  <c r="C31" i="2"/>
  <c r="O489" i="6"/>
  <c r="C135" i="2"/>
  <c r="H90" i="4"/>
  <c r="G9" i="4"/>
  <c r="G10" i="4" s="1"/>
  <c r="P138" i="8"/>
  <c r="C162" i="13"/>
  <c r="C164" i="13" s="1"/>
  <c r="G130" i="8"/>
  <c r="N17" i="11"/>
  <c r="N11" i="11"/>
  <c r="M435" i="6"/>
  <c r="M101" i="6"/>
  <c r="M144" i="6"/>
  <c r="M527" i="6"/>
  <c r="M115" i="6"/>
  <c r="M111" i="6"/>
  <c r="M107" i="6"/>
  <c r="M103" i="6"/>
  <c r="M263" i="6"/>
  <c r="M220" i="6"/>
  <c r="M114" i="6"/>
  <c r="M110" i="6"/>
  <c r="M106" i="6"/>
  <c r="M102" i="6"/>
  <c r="M478" i="6"/>
  <c r="M395" i="6"/>
  <c r="M113" i="6"/>
  <c r="M109" i="6"/>
  <c r="M105" i="6"/>
  <c r="M306" i="6"/>
  <c r="M241" i="6"/>
  <c r="M108" i="6"/>
  <c r="M104" i="6"/>
  <c r="M116" i="6"/>
  <c r="M112" i="6"/>
  <c r="I15" i="15"/>
  <c r="N91" i="6"/>
  <c r="C8" i="8"/>
  <c r="D5" i="12" s="1"/>
  <c r="C281" i="13"/>
  <c r="D281" i="13" s="1"/>
  <c r="C276" i="13" s="1"/>
  <c r="C275" i="13"/>
  <c r="G140" i="7"/>
  <c r="J140" i="8" s="1"/>
  <c r="O143" i="2"/>
  <c r="M143" i="2"/>
  <c r="H781" i="6"/>
  <c r="I134" i="3"/>
  <c r="M84" i="13"/>
  <c r="M86" i="13" s="1"/>
  <c r="Q117" i="8"/>
  <c r="N33" i="7"/>
  <c r="Q33" i="8" s="1"/>
  <c r="N3" i="13" s="1"/>
  <c r="AC35" i="2"/>
  <c r="B118" i="13"/>
  <c r="D122" i="2" s="1"/>
  <c r="B120" i="7" s="1"/>
  <c r="B137" i="8"/>
  <c r="D137" i="8" s="1"/>
  <c r="N116" i="13"/>
  <c r="R118" i="8"/>
  <c r="D33" i="7"/>
  <c r="G33" i="8" s="1"/>
  <c r="D3" i="13" s="1"/>
  <c r="I35" i="2"/>
  <c r="J313" i="13"/>
  <c r="N152" i="8"/>
  <c r="J14" i="15"/>
  <c r="G22" i="12"/>
  <c r="O10" i="13"/>
  <c r="S26" i="8"/>
  <c r="B26" i="8"/>
  <c r="D26" i="8" s="1"/>
  <c r="H780" i="6"/>
  <c r="D134" i="3"/>
  <c r="O482" i="6"/>
  <c r="C130" i="2"/>
  <c r="B324" i="13"/>
  <c r="P739" i="6"/>
  <c r="M42" i="13"/>
  <c r="Q68" i="8"/>
  <c r="K312" i="13"/>
  <c r="O151" i="8"/>
  <c r="F33" i="7"/>
  <c r="I33" i="8" s="1"/>
  <c r="F3" i="13" s="1"/>
  <c r="M35" i="2"/>
  <c r="F94" i="4"/>
  <c r="G643" i="6" s="1"/>
  <c r="I643" i="6" s="1"/>
  <c r="F70" i="4"/>
  <c r="F95" i="4" s="1"/>
  <c r="G644" i="6" s="1"/>
  <c r="I644" i="6" s="1"/>
  <c r="M46" i="13"/>
  <c r="Q99" i="8"/>
  <c r="K351" i="6"/>
  <c r="K369" i="6"/>
  <c r="K378" i="6"/>
  <c r="K350" i="6"/>
  <c r="K360" i="6"/>
  <c r="C33" i="8"/>
  <c r="H5" i="12" s="1"/>
  <c r="I9" i="15" s="1"/>
  <c r="C108" i="8"/>
  <c r="J2" i="15"/>
  <c r="G10" i="12"/>
  <c r="O11" i="13"/>
  <c r="S27" i="8"/>
  <c r="B184" i="13"/>
  <c r="J90" i="4"/>
  <c r="I9" i="4"/>
  <c r="O225" i="6"/>
  <c r="C106" i="2"/>
  <c r="H782" i="6"/>
  <c r="N134" i="3"/>
  <c r="B74" i="13"/>
  <c r="O484" i="6"/>
  <c r="C133" i="2"/>
  <c r="B78" i="8"/>
  <c r="D78" i="8" s="1"/>
  <c r="C80" i="2" s="1"/>
  <c r="B145" i="8"/>
  <c r="D145" i="8" s="1"/>
  <c r="B140" i="8" l="1"/>
  <c r="D140" i="8" s="1"/>
  <c r="O537" i="6" s="1"/>
  <c r="L110" i="6"/>
  <c r="C270" i="13"/>
  <c r="D270" i="13" s="1"/>
  <c r="C264" i="13"/>
  <c r="D264" i="13" s="1"/>
  <c r="C258" i="13"/>
  <c r="D258" i="13" s="1"/>
  <c r="C277" i="13"/>
  <c r="C273" i="13"/>
  <c r="D273" i="13" s="1"/>
  <c r="C259" i="13"/>
  <c r="D259" i="13" s="1"/>
  <c r="C265" i="13"/>
  <c r="D265" i="13" s="1"/>
  <c r="L105" i="6"/>
  <c r="L113" i="6"/>
  <c r="C267" i="13"/>
  <c r="D267" i="13" s="1"/>
  <c r="L114" i="6"/>
  <c r="C266" i="13"/>
  <c r="D266" i="13" s="1"/>
  <c r="C271" i="13"/>
  <c r="D271" i="13" s="1"/>
  <c r="L107" i="6"/>
  <c r="C268" i="13"/>
  <c r="D268" i="13" s="1"/>
  <c r="C269" i="13"/>
  <c r="D269" i="13" s="1"/>
  <c r="L116" i="6"/>
  <c r="C272" i="13"/>
  <c r="D272" i="13" s="1"/>
  <c r="C262" i="13"/>
  <c r="D262" i="13" s="1"/>
  <c r="C263" i="13"/>
  <c r="D263" i="13" s="1"/>
  <c r="H118" i="13"/>
  <c r="P122" i="2" s="1"/>
  <c r="H120" i="7" s="1"/>
  <c r="K120" i="8" s="1"/>
  <c r="O149" i="6"/>
  <c r="C30" i="2"/>
  <c r="E119" i="8"/>
  <c r="B119" i="8" s="1"/>
  <c r="D119" i="8" s="1"/>
  <c r="D438" i="6"/>
  <c r="I111" i="6"/>
  <c r="F111" i="6"/>
  <c r="I115" i="6"/>
  <c r="F115" i="6"/>
  <c r="G440" i="6"/>
  <c r="G438" i="6"/>
  <c r="G439" i="6"/>
  <c r="G436" i="6"/>
  <c r="G437" i="6"/>
  <c r="K12" i="11"/>
  <c r="K18" i="11"/>
  <c r="J242" i="6"/>
  <c r="L115" i="6"/>
  <c r="K118" i="13"/>
  <c r="V122" i="2" s="1"/>
  <c r="K120" i="7" s="1"/>
  <c r="N120" i="8" s="1"/>
  <c r="O120" i="8" s="1"/>
  <c r="P120" i="8" s="1"/>
  <c r="Q120" i="8" s="1"/>
  <c r="R120" i="8" s="1"/>
  <c r="S120" i="8" s="1"/>
  <c r="C120" i="8" s="1"/>
  <c r="B250" i="13"/>
  <c r="G229" i="13" s="1"/>
  <c r="N142" i="2" s="1"/>
  <c r="G139" i="7" s="1"/>
  <c r="J139" i="8" s="1"/>
  <c r="J222" i="13"/>
  <c r="J250" i="13" s="1"/>
  <c r="L222" i="13"/>
  <c r="L250" i="13" s="1"/>
  <c r="M222" i="13"/>
  <c r="M250" i="13" s="1"/>
  <c r="O222" i="13"/>
  <c r="O250" i="13" s="1"/>
  <c r="E222" i="13"/>
  <c r="E250" i="13" s="1"/>
  <c r="C222" i="13"/>
  <c r="C250" i="13" s="1"/>
  <c r="F222" i="13"/>
  <c r="F250" i="13" s="1"/>
  <c r="P222" i="13"/>
  <c r="P250" i="13" s="1"/>
  <c r="K222" i="13"/>
  <c r="K250" i="13" s="1"/>
  <c r="H222" i="13"/>
  <c r="H250" i="13" s="1"/>
  <c r="D222" i="13"/>
  <c r="D250" i="13" s="1"/>
  <c r="N222" i="13"/>
  <c r="N250" i="13" s="1"/>
  <c r="G222" i="13"/>
  <c r="G250" i="13" s="1"/>
  <c r="I105" i="6"/>
  <c r="F105" i="6"/>
  <c r="G488" i="6"/>
  <c r="G487" i="6"/>
  <c r="G483" i="6"/>
  <c r="G479" i="6"/>
  <c r="G481" i="6"/>
  <c r="G484" i="6"/>
  <c r="G489" i="6"/>
  <c r="G486" i="6"/>
  <c r="G480" i="6"/>
  <c r="G482" i="6"/>
  <c r="G485" i="6"/>
  <c r="J489" i="6"/>
  <c r="J485" i="6"/>
  <c r="J481" i="6"/>
  <c r="J488" i="6"/>
  <c r="J486" i="6"/>
  <c r="J482" i="6"/>
  <c r="J480" i="6"/>
  <c r="J487" i="6"/>
  <c r="J479" i="6"/>
  <c r="J484" i="6"/>
  <c r="J483" i="6"/>
  <c r="E142" i="7"/>
  <c r="H142" i="8" s="1"/>
  <c r="K145" i="2"/>
  <c r="I145" i="2"/>
  <c r="P9" i="13"/>
  <c r="C25" i="8"/>
  <c r="B4" i="13"/>
  <c r="B32" i="8"/>
  <c r="D32" i="8" s="1"/>
  <c r="D162" i="13"/>
  <c r="H130" i="8"/>
  <c r="P20" i="13"/>
  <c r="C110" i="8"/>
  <c r="I109" i="6"/>
  <c r="F109" i="6"/>
  <c r="K305" i="13"/>
  <c r="O150" i="8"/>
  <c r="O75" i="4"/>
  <c r="T144" i="2" s="1"/>
  <c r="O10" i="4"/>
  <c r="O76" i="4" s="1"/>
  <c r="T145" i="2" s="1"/>
  <c r="P10" i="13"/>
  <c r="C26" i="8"/>
  <c r="M318" i="6"/>
  <c r="M316" i="6"/>
  <c r="M314" i="6"/>
  <c r="M312" i="6"/>
  <c r="M310" i="6"/>
  <c r="M308" i="6"/>
  <c r="M307" i="6"/>
  <c r="M541" i="6"/>
  <c r="M529" i="6"/>
  <c r="M543" i="6"/>
  <c r="M535" i="6"/>
  <c r="M531" i="6"/>
  <c r="M545" i="6"/>
  <c r="M537" i="6"/>
  <c r="M528" i="6"/>
  <c r="M547" i="6"/>
  <c r="M539" i="6"/>
  <c r="M533" i="6"/>
  <c r="B332" i="13"/>
  <c r="A152" i="13"/>
  <c r="A153" i="13"/>
  <c r="B152" i="13"/>
  <c r="B153" i="13" s="1"/>
  <c r="K883" i="6"/>
  <c r="K873" i="6"/>
  <c r="J873" i="6" s="1"/>
  <c r="K870" i="6"/>
  <c r="J870" i="6" s="1"/>
  <c r="K876" i="6"/>
  <c r="J876" i="6" s="1"/>
  <c r="K879" i="6"/>
  <c r="J879" i="6" s="1"/>
  <c r="K867" i="6"/>
  <c r="J867" i="6" s="1"/>
  <c r="I113" i="6"/>
  <c r="F113" i="6"/>
  <c r="O116" i="13"/>
  <c r="S118" i="8"/>
  <c r="M145" i="6"/>
  <c r="M165" i="6"/>
  <c r="M156" i="6"/>
  <c r="M151" i="6"/>
  <c r="M147" i="6"/>
  <c r="M162" i="6"/>
  <c r="M154" i="6"/>
  <c r="M150" i="6"/>
  <c r="M146" i="6"/>
  <c r="M159" i="6"/>
  <c r="M153" i="6"/>
  <c r="M149" i="6"/>
  <c r="M152" i="6"/>
  <c r="M148" i="6"/>
  <c r="M157" i="6"/>
  <c r="N45" i="13"/>
  <c r="R89" i="8"/>
  <c r="O545" i="6"/>
  <c r="C147" i="2"/>
  <c r="D194" i="13"/>
  <c r="D196" i="13" s="1"/>
  <c r="H132" i="8"/>
  <c r="I102" i="6"/>
  <c r="F102" i="6"/>
  <c r="G145" i="6"/>
  <c r="G165" i="6"/>
  <c r="G156" i="6"/>
  <c r="G151" i="6"/>
  <c r="G147" i="6"/>
  <c r="G162" i="6"/>
  <c r="G154" i="6"/>
  <c r="F154" i="6" s="1"/>
  <c r="G150" i="6"/>
  <c r="G146" i="6"/>
  <c r="G159" i="6"/>
  <c r="G153" i="6"/>
  <c r="G149" i="6"/>
  <c r="G152" i="6"/>
  <c r="G148" i="6"/>
  <c r="G157" i="6"/>
  <c r="G533" i="6"/>
  <c r="G531" i="6"/>
  <c r="G535" i="6"/>
  <c r="G528" i="6"/>
  <c r="G547" i="6"/>
  <c r="G539" i="6"/>
  <c r="G541" i="6"/>
  <c r="G529" i="6"/>
  <c r="G543" i="6"/>
  <c r="G545" i="6"/>
  <c r="G537" i="6"/>
  <c r="O34" i="13"/>
  <c r="S50" i="8"/>
  <c r="J440" i="6"/>
  <c r="J437" i="6"/>
  <c r="J438" i="6"/>
  <c r="J439" i="6"/>
  <c r="J436" i="6"/>
  <c r="L108" i="6"/>
  <c r="O35" i="13"/>
  <c r="S54" i="8"/>
  <c r="O543" i="6"/>
  <c r="C146" i="2"/>
  <c r="F118" i="13"/>
  <c r="L122" i="2" s="1"/>
  <c r="F120" i="7" s="1"/>
  <c r="I120" i="8" s="1"/>
  <c r="N44" i="13"/>
  <c r="R79" i="8"/>
  <c r="L118" i="13"/>
  <c r="F292" i="13"/>
  <c r="F288" i="13"/>
  <c r="M299" i="13" s="1"/>
  <c r="H299" i="13" s="1"/>
  <c r="F291" i="13"/>
  <c r="G287" i="13"/>
  <c r="F287" i="13"/>
  <c r="M298" i="13" s="1"/>
  <c r="H298" i="13" s="1"/>
  <c r="F290" i="13"/>
  <c r="M301" i="13" s="1"/>
  <c r="H301" i="13" s="1"/>
  <c r="F289" i="13"/>
  <c r="M300" i="13" s="1"/>
  <c r="H300" i="13" s="1"/>
  <c r="J247" i="6"/>
  <c r="J246" i="6"/>
  <c r="J245" i="6"/>
  <c r="J244" i="6"/>
  <c r="J243" i="6"/>
  <c r="D118" i="13"/>
  <c r="H122" i="2" s="1"/>
  <c r="D120" i="7" s="1"/>
  <c r="G120" i="8" s="1"/>
  <c r="I314" i="13"/>
  <c r="M153" i="8"/>
  <c r="B229" i="13"/>
  <c r="O246" i="6"/>
  <c r="C112" i="2"/>
  <c r="N33" i="13"/>
  <c r="R46" i="8"/>
  <c r="O180" i="6"/>
  <c r="J17" i="3"/>
  <c r="J193" i="6" s="1"/>
  <c r="I107" i="6"/>
  <c r="F107" i="6"/>
  <c r="O153" i="6"/>
  <c r="O102" i="6"/>
  <c r="C10" i="2"/>
  <c r="O147" i="6"/>
  <c r="C28" i="2"/>
  <c r="M247" i="6"/>
  <c r="M246" i="6"/>
  <c r="M245" i="6"/>
  <c r="M244" i="6"/>
  <c r="M243" i="6"/>
  <c r="D796" i="6"/>
  <c r="C144" i="3"/>
  <c r="C145" i="3"/>
  <c r="E142" i="3"/>
  <c r="E796" i="6" s="1"/>
  <c r="C146" i="3"/>
  <c r="H12" i="11"/>
  <c r="H18" i="11"/>
  <c r="G242" i="6"/>
  <c r="J165" i="6"/>
  <c r="J162" i="6"/>
  <c r="J159" i="6"/>
  <c r="J157" i="6"/>
  <c r="J156" i="6"/>
  <c r="J154" i="6"/>
  <c r="J153" i="6"/>
  <c r="J152" i="6"/>
  <c r="J151" i="6"/>
  <c r="J150" i="6"/>
  <c r="J149" i="6"/>
  <c r="J148" i="6"/>
  <c r="J147" i="6"/>
  <c r="J146" i="6"/>
  <c r="J145" i="6"/>
  <c r="E141" i="7"/>
  <c r="H141" i="8" s="1"/>
  <c r="K144" i="2"/>
  <c r="I144" i="2"/>
  <c r="N788" i="6"/>
  <c r="M136" i="3"/>
  <c r="M138" i="3"/>
  <c r="O134" i="3"/>
  <c r="O788" i="6" s="1"/>
  <c r="M137" i="3"/>
  <c r="P11" i="13"/>
  <c r="B27" i="8"/>
  <c r="D27" i="8" s="1"/>
  <c r="C27" i="8"/>
  <c r="B25" i="8"/>
  <c r="D25" i="8" s="1"/>
  <c r="I118" i="13"/>
  <c r="R122" i="2" s="1"/>
  <c r="I120" i="7" s="1"/>
  <c r="L120" i="8" s="1"/>
  <c r="N118" i="13"/>
  <c r="I788" i="6"/>
  <c r="J134" i="3"/>
  <c r="J788" i="6" s="1"/>
  <c r="H137" i="3"/>
  <c r="H138" i="3"/>
  <c r="H136" i="3"/>
  <c r="M226" i="6"/>
  <c r="M225" i="6"/>
  <c r="M224" i="6"/>
  <c r="M223" i="6"/>
  <c r="M222" i="6"/>
  <c r="M221" i="6"/>
  <c r="M227" i="13"/>
  <c r="Q138" i="8"/>
  <c r="I106" i="6"/>
  <c r="F106" i="6"/>
  <c r="G401" i="6"/>
  <c r="G396" i="6"/>
  <c r="G399" i="6"/>
  <c r="G397" i="6"/>
  <c r="L109" i="6"/>
  <c r="J226" i="6"/>
  <c r="J225" i="6"/>
  <c r="J224" i="6"/>
  <c r="J223" i="6"/>
  <c r="J222" i="6"/>
  <c r="J221" i="6"/>
  <c r="P12" i="13"/>
  <c r="C28" i="8"/>
  <c r="O41" i="13"/>
  <c r="S64" i="8"/>
  <c r="O531" i="6"/>
  <c r="C140" i="2"/>
  <c r="M273" i="6"/>
  <c r="M271" i="6"/>
  <c r="M269" i="6"/>
  <c r="M267" i="6"/>
  <c r="M265" i="6"/>
  <c r="M264" i="6"/>
  <c r="M439" i="6"/>
  <c r="M438" i="6"/>
  <c r="M436" i="6"/>
  <c r="M440" i="6"/>
  <c r="M437" i="6"/>
  <c r="O54" i="13"/>
  <c r="S114" i="8"/>
  <c r="B114" i="8" s="1"/>
  <c r="D114" i="8" s="1"/>
  <c r="I112" i="6"/>
  <c r="F112" i="6"/>
  <c r="I110" i="6"/>
  <c r="F110" i="6"/>
  <c r="G247" i="6"/>
  <c r="G246" i="6"/>
  <c r="G245" i="6"/>
  <c r="G244" i="6"/>
  <c r="G243" i="6"/>
  <c r="L102" i="6"/>
  <c r="I75" i="4"/>
  <c r="N144" i="2" s="1"/>
  <c r="I10" i="4"/>
  <c r="I76" i="4" s="1"/>
  <c r="N145" i="2" s="1"/>
  <c r="N42" i="13"/>
  <c r="R68" i="8"/>
  <c r="K313" i="13"/>
  <c r="O152" i="8"/>
  <c r="E120" i="8"/>
  <c r="D440" i="6"/>
  <c r="C257" i="13"/>
  <c r="D257" i="13" s="1"/>
  <c r="C278" i="13"/>
  <c r="C261" i="13"/>
  <c r="D261" i="13" s="1"/>
  <c r="M399" i="6"/>
  <c r="M397" i="6"/>
  <c r="M396" i="6"/>
  <c r="M401" i="6"/>
  <c r="H145" i="3"/>
  <c r="J142" i="3"/>
  <c r="J796" i="6" s="1"/>
  <c r="H146" i="3"/>
  <c r="H144" i="3"/>
  <c r="I796" i="6"/>
  <c r="N693" i="6"/>
  <c r="I54" i="3"/>
  <c r="C54" i="3"/>
  <c r="O54" i="3"/>
  <c r="M54" i="3"/>
  <c r="K54" i="3"/>
  <c r="G54" i="3"/>
  <c r="E54" i="3"/>
  <c r="I104" i="6"/>
  <c r="F104" i="6"/>
  <c r="I114" i="6"/>
  <c r="F114" i="6"/>
  <c r="G264" i="6"/>
  <c r="G273" i="6"/>
  <c r="G271" i="6"/>
  <c r="G269" i="6"/>
  <c r="G267" i="6"/>
  <c r="G265" i="6"/>
  <c r="L103" i="6"/>
  <c r="L111" i="6"/>
  <c r="J273" i="6"/>
  <c r="J271" i="6"/>
  <c r="J269" i="6"/>
  <c r="J267" i="6"/>
  <c r="J265" i="6"/>
  <c r="J264" i="6"/>
  <c r="H718" i="6"/>
  <c r="I222" i="13"/>
  <c r="I250" i="13" s="1"/>
  <c r="E115" i="8"/>
  <c r="B115" i="8" s="1"/>
  <c r="D115" i="8" s="1"/>
  <c r="D401" i="6"/>
  <c r="G118" i="13"/>
  <c r="N122" i="2" s="1"/>
  <c r="G120" i="7" s="1"/>
  <c r="J120" i="8" s="1"/>
  <c r="L106" i="6"/>
  <c r="J535" i="6"/>
  <c r="J528" i="6"/>
  <c r="J547" i="6"/>
  <c r="J545" i="6"/>
  <c r="J543" i="6"/>
  <c r="J541" i="6"/>
  <c r="J539" i="6"/>
  <c r="J537" i="6"/>
  <c r="J533" i="6"/>
  <c r="J531" i="6"/>
  <c r="J529" i="6"/>
  <c r="E118" i="13"/>
  <c r="J122" i="2" s="1"/>
  <c r="E120" i="7" s="1"/>
  <c r="H120" i="8" s="1"/>
  <c r="N84" i="13"/>
  <c r="R117" i="8"/>
  <c r="O547" i="6"/>
  <c r="C148" i="2"/>
  <c r="L312" i="13"/>
  <c r="P151" i="8"/>
  <c r="N12" i="11"/>
  <c r="N18" i="11"/>
  <c r="M242" i="6"/>
  <c r="N36" i="13"/>
  <c r="R58" i="8"/>
  <c r="I116" i="6"/>
  <c r="F116" i="6"/>
  <c r="G221" i="6"/>
  <c r="G226" i="6"/>
  <c r="G225" i="6"/>
  <c r="G224" i="6"/>
  <c r="G223" i="6"/>
  <c r="G222" i="6"/>
  <c r="J396" i="6"/>
  <c r="J399" i="6"/>
  <c r="J397" i="6"/>
  <c r="J401" i="6"/>
  <c r="N46" i="13"/>
  <c r="R99" i="8"/>
  <c r="C138" i="3"/>
  <c r="D788" i="6"/>
  <c r="E134" i="3"/>
  <c r="E788" i="6" s="1"/>
  <c r="C136" i="3"/>
  <c r="C137" i="3"/>
  <c r="C260" i="13"/>
  <c r="D260" i="13" s="1"/>
  <c r="C256" i="13"/>
  <c r="D256" i="13" s="1"/>
  <c r="M489" i="6"/>
  <c r="M485" i="6"/>
  <c r="M481" i="6"/>
  <c r="M484" i="6"/>
  <c r="M480" i="6"/>
  <c r="M483" i="6"/>
  <c r="M487" i="6"/>
  <c r="M488" i="6"/>
  <c r="M479" i="6"/>
  <c r="M486" i="6"/>
  <c r="M482" i="6"/>
  <c r="B142" i="13"/>
  <c r="F181" i="6"/>
  <c r="O8" i="3"/>
  <c r="O181" i="6" s="1"/>
  <c r="I108" i="6"/>
  <c r="F108" i="6"/>
  <c r="I103" i="6"/>
  <c r="F103" i="6"/>
  <c r="G307" i="6"/>
  <c r="G318" i="6"/>
  <c r="G316" i="6"/>
  <c r="G314" i="6"/>
  <c r="G312" i="6"/>
  <c r="G310" i="6"/>
  <c r="G308" i="6"/>
  <c r="K315" i="13"/>
  <c r="O154" i="8"/>
  <c r="L104" i="6"/>
  <c r="L112" i="6"/>
  <c r="J318" i="6"/>
  <c r="J316" i="6"/>
  <c r="J314" i="6"/>
  <c r="J312" i="6"/>
  <c r="J310" i="6"/>
  <c r="J308" i="6"/>
  <c r="J307" i="6"/>
  <c r="E33" i="8"/>
  <c r="D156" i="6"/>
  <c r="J118" i="13"/>
  <c r="T122" i="2" s="1"/>
  <c r="J120" i="7" s="1"/>
  <c r="M120" i="8" s="1"/>
  <c r="C118" i="13"/>
  <c r="F122" i="2" s="1"/>
  <c r="C120" i="7" s="1"/>
  <c r="F120" i="8" s="1"/>
  <c r="L541" i="6" l="1"/>
  <c r="L153" i="6"/>
  <c r="L162" i="6"/>
  <c r="L537" i="6"/>
  <c r="L229" i="13"/>
  <c r="L547" i="6"/>
  <c r="C229" i="13"/>
  <c r="F229" i="13"/>
  <c r="L142" i="2" s="1"/>
  <c r="F139" i="7" s="1"/>
  <c r="I139" i="8" s="1"/>
  <c r="L308" i="6"/>
  <c r="L154" i="6"/>
  <c r="L157" i="6"/>
  <c r="C143" i="2"/>
  <c r="L543" i="6"/>
  <c r="L539" i="6"/>
  <c r="L318" i="6"/>
  <c r="L271" i="6"/>
  <c r="L150" i="6"/>
  <c r="L314" i="6"/>
  <c r="L222" i="6"/>
  <c r="L316" i="6"/>
  <c r="L397" i="6"/>
  <c r="L531" i="6"/>
  <c r="L148" i="6"/>
  <c r="F156" i="6"/>
  <c r="L533" i="6"/>
  <c r="L159" i="6"/>
  <c r="L152" i="6"/>
  <c r="M302" i="13"/>
  <c r="H302" i="13" s="1"/>
  <c r="L147" i="6"/>
  <c r="L399" i="6"/>
  <c r="L224" i="6"/>
  <c r="L156" i="6"/>
  <c r="I229" i="13"/>
  <c r="R142" i="2" s="1"/>
  <c r="I139" i="7" s="1"/>
  <c r="L139" i="8" s="1"/>
  <c r="L310" i="6"/>
  <c r="D229" i="13"/>
  <c r="L312" i="6"/>
  <c r="H229" i="13"/>
  <c r="P142" i="2" s="1"/>
  <c r="H139" i="7" s="1"/>
  <c r="K139" i="8" s="1"/>
  <c r="M229" i="13"/>
  <c r="K229" i="13"/>
  <c r="V142" i="2" s="1"/>
  <c r="K139" i="7" s="1"/>
  <c r="N139" i="8" s="1"/>
  <c r="O139" i="8" s="1"/>
  <c r="P139" i="8" s="1"/>
  <c r="Q139" i="8" s="1"/>
  <c r="R139" i="8" s="1"/>
  <c r="S139" i="8" s="1"/>
  <c r="C139" i="8" s="1"/>
  <c r="E229" i="13"/>
  <c r="J142" i="2" s="1"/>
  <c r="E139" i="7" s="1"/>
  <c r="H139" i="8" s="1"/>
  <c r="L273" i="6"/>
  <c r="J15" i="3"/>
  <c r="J191" i="6" s="1"/>
  <c r="L545" i="6"/>
  <c r="B120" i="8"/>
  <c r="D120" i="8" s="1"/>
  <c r="O440" i="6" s="1"/>
  <c r="L225" i="6"/>
  <c r="L165" i="6"/>
  <c r="L298" i="13"/>
  <c r="G298" i="13" s="1"/>
  <c r="K15" i="15" s="1"/>
  <c r="L245" i="6"/>
  <c r="C116" i="2"/>
  <c r="O399" i="6"/>
  <c r="O401" i="6"/>
  <c r="C117" i="2"/>
  <c r="E353" i="13"/>
  <c r="C353" i="13" s="1"/>
  <c r="H800" i="6"/>
  <c r="J146" i="3"/>
  <c r="J800" i="6" s="1"/>
  <c r="O146" i="6"/>
  <c r="C27" i="2"/>
  <c r="I531" i="6"/>
  <c r="F531" i="6"/>
  <c r="M705" i="6"/>
  <c r="O42" i="13"/>
  <c r="S68" i="8"/>
  <c r="B68" i="8"/>
  <c r="D68" i="8" s="1"/>
  <c r="I246" i="6"/>
  <c r="F246" i="6"/>
  <c r="L226" i="6"/>
  <c r="N227" i="13"/>
  <c r="N229" i="13" s="1"/>
  <c r="R138" i="8"/>
  <c r="E342" i="13"/>
  <c r="C342" i="13" s="1"/>
  <c r="H790" i="6"/>
  <c r="J136" i="3"/>
  <c r="J790" i="6" s="1"/>
  <c r="H139" i="3"/>
  <c r="H793" i="6" s="1"/>
  <c r="L149" i="6"/>
  <c r="E349" i="13"/>
  <c r="C349" i="13" s="1"/>
  <c r="C799" i="6"/>
  <c r="E145" i="3"/>
  <c r="E799" i="6" s="1"/>
  <c r="L439" i="6"/>
  <c r="I543" i="6"/>
  <c r="F543" i="6"/>
  <c r="I533" i="6"/>
  <c r="F533" i="6"/>
  <c r="I150" i="6"/>
  <c r="F150" i="6"/>
  <c r="P116" i="13"/>
  <c r="C118" i="8"/>
  <c r="B118" i="8"/>
  <c r="D118" i="8" s="1"/>
  <c r="J142" i="7"/>
  <c r="M142" i="8" s="1"/>
  <c r="U145" i="2"/>
  <c r="S145" i="2"/>
  <c r="L487" i="6"/>
  <c r="I483" i="6"/>
  <c r="F483" i="6"/>
  <c r="I437" i="6"/>
  <c r="F437" i="6"/>
  <c r="I146" i="6"/>
  <c r="F146" i="6"/>
  <c r="O45" i="13"/>
  <c r="S89" i="8"/>
  <c r="M312" i="13"/>
  <c r="Q151" i="8"/>
  <c r="I308" i="6"/>
  <c r="F308" i="6"/>
  <c r="O705" i="6"/>
  <c r="E352" i="13"/>
  <c r="C352" i="13" s="1"/>
  <c r="H799" i="6"/>
  <c r="J145" i="3"/>
  <c r="J799" i="6" s="1"/>
  <c r="I247" i="6"/>
  <c r="F247" i="6"/>
  <c r="E344" i="13"/>
  <c r="C344" i="13" s="1"/>
  <c r="H792" i="6"/>
  <c r="J138" i="3"/>
  <c r="J792" i="6" s="1"/>
  <c r="O148" i="6"/>
  <c r="C29" i="2"/>
  <c r="E348" i="13"/>
  <c r="C348" i="13" s="1"/>
  <c r="C147" i="3"/>
  <c r="C801" i="6" s="1"/>
  <c r="C798" i="6"/>
  <c r="E144" i="3"/>
  <c r="E798" i="6" s="1"/>
  <c r="O33" i="13"/>
  <c r="S46" i="8"/>
  <c r="I157" i="6"/>
  <c r="F157" i="6"/>
  <c r="I154" i="6"/>
  <c r="O118" i="13"/>
  <c r="J141" i="7"/>
  <c r="M141" i="8" s="1"/>
  <c r="U144" i="2"/>
  <c r="S144" i="2"/>
  <c r="I482" i="6"/>
  <c r="F482" i="6"/>
  <c r="I487" i="6"/>
  <c r="F487" i="6"/>
  <c r="I245" i="6"/>
  <c r="F245" i="6"/>
  <c r="P41" i="13"/>
  <c r="C64" i="8"/>
  <c r="I545" i="6"/>
  <c r="F545" i="6"/>
  <c r="A108" i="3"/>
  <c r="A761" i="6" s="1"/>
  <c r="E341" i="13"/>
  <c r="C341" i="13" s="1"/>
  <c r="C792" i="6"/>
  <c r="E138" i="3"/>
  <c r="E792" i="6" s="1"/>
  <c r="O36" i="13"/>
  <c r="S58" i="8"/>
  <c r="C705" i="6"/>
  <c r="H64" i="3"/>
  <c r="G142" i="7"/>
  <c r="J142" i="8" s="1"/>
  <c r="O145" i="2"/>
  <c r="M145" i="2"/>
  <c r="I397" i="6"/>
  <c r="F397" i="6"/>
  <c r="E343" i="13"/>
  <c r="C343" i="13" s="1"/>
  <c r="J137" i="3"/>
  <c r="J791" i="6" s="1"/>
  <c r="H791" i="6"/>
  <c r="L151" i="6"/>
  <c r="L243" i="6"/>
  <c r="L437" i="6"/>
  <c r="I541" i="6"/>
  <c r="F541" i="6"/>
  <c r="I148" i="6"/>
  <c r="F148" i="6"/>
  <c r="I162" i="6"/>
  <c r="F162" i="6"/>
  <c r="L305" i="13"/>
  <c r="P150" i="8"/>
  <c r="E162" i="13"/>
  <c r="E164" i="13" s="1"/>
  <c r="I130" i="8"/>
  <c r="L482" i="6"/>
  <c r="I488" i="6"/>
  <c r="F488" i="6"/>
  <c r="I439" i="6"/>
  <c r="F439" i="6"/>
  <c r="L315" i="13"/>
  <c r="P154" i="8"/>
  <c r="I310" i="6"/>
  <c r="F310" i="6"/>
  <c r="I222" i="6"/>
  <c r="F222" i="6"/>
  <c r="B3" i="13"/>
  <c r="B33" i="8"/>
  <c r="D33" i="8" s="1"/>
  <c r="I312" i="6"/>
  <c r="F312" i="6"/>
  <c r="I223" i="6"/>
  <c r="F223" i="6"/>
  <c r="I265" i="6"/>
  <c r="F265" i="6"/>
  <c r="I705" i="6"/>
  <c r="G141" i="7"/>
  <c r="J141" i="8" s="1"/>
  <c r="O144" i="2"/>
  <c r="M144" i="2"/>
  <c r="I399" i="6"/>
  <c r="F399" i="6"/>
  <c r="E346" i="13"/>
  <c r="C346" i="13" s="1"/>
  <c r="M791" i="6"/>
  <c r="O137" i="3"/>
  <c r="O791" i="6" s="1"/>
  <c r="L244" i="6"/>
  <c r="I539" i="6"/>
  <c r="F539" i="6"/>
  <c r="I152" i="6"/>
  <c r="F152" i="6"/>
  <c r="I147" i="6"/>
  <c r="F147" i="6"/>
  <c r="E194" i="13"/>
  <c r="E196" i="13" s="1"/>
  <c r="I132" i="8"/>
  <c r="D164" i="13"/>
  <c r="O438" i="6"/>
  <c r="C121" i="2"/>
  <c r="L488" i="6"/>
  <c r="B58" i="8"/>
  <c r="D58" i="8" s="1"/>
  <c r="A151" i="13"/>
  <c r="B150" i="13"/>
  <c r="B151" i="13" s="1"/>
  <c r="A150" i="13"/>
  <c r="E339" i="13"/>
  <c r="C339" i="13" s="1"/>
  <c r="C790" i="6"/>
  <c r="E136" i="3"/>
  <c r="E790" i="6" s="1"/>
  <c r="C139" i="3"/>
  <c r="C793" i="6" s="1"/>
  <c r="K705" i="6"/>
  <c r="I314" i="6"/>
  <c r="F314" i="6"/>
  <c r="O46" i="13"/>
  <c r="S99" i="8"/>
  <c r="O84" i="13"/>
  <c r="O86" i="13" s="1"/>
  <c r="S117" i="8"/>
  <c r="B117" i="8"/>
  <c r="D117" i="8" s="1"/>
  <c r="P34" i="13"/>
  <c r="C50" i="8"/>
  <c r="B50" i="8"/>
  <c r="D50" i="8" s="1"/>
  <c r="C52" i="2" s="1"/>
  <c r="I547" i="6"/>
  <c r="F547" i="6"/>
  <c r="I151" i="6"/>
  <c r="F151" i="6"/>
  <c r="I316" i="6"/>
  <c r="F316" i="6"/>
  <c r="I225" i="6"/>
  <c r="F225" i="6"/>
  <c r="N86" i="13"/>
  <c r="L267" i="6"/>
  <c r="I269" i="6"/>
  <c r="F269" i="6"/>
  <c r="E705" i="6"/>
  <c r="L313" i="13"/>
  <c r="P152" i="8"/>
  <c r="I243" i="6"/>
  <c r="F243" i="6"/>
  <c r="L223" i="6"/>
  <c r="E347" i="13"/>
  <c r="C347" i="13" s="1"/>
  <c r="M792" i="6"/>
  <c r="O138" i="3"/>
  <c r="O792" i="6" s="1"/>
  <c r="L146" i="6"/>
  <c r="L246" i="6"/>
  <c r="I153" i="6"/>
  <c r="F153" i="6"/>
  <c r="I156" i="6"/>
  <c r="L483" i="6"/>
  <c r="I273" i="6"/>
  <c r="F273" i="6"/>
  <c r="O57" i="13"/>
  <c r="B50" i="13"/>
  <c r="I224" i="6"/>
  <c r="F224" i="6"/>
  <c r="L265" i="6"/>
  <c r="I267" i="6"/>
  <c r="F267" i="6"/>
  <c r="P35" i="13"/>
  <c r="C54" i="8"/>
  <c r="B54" i="8"/>
  <c r="D54" i="8" s="1"/>
  <c r="I149" i="6"/>
  <c r="F149" i="6"/>
  <c r="I318" i="6"/>
  <c r="F318" i="6"/>
  <c r="E340" i="13"/>
  <c r="C340" i="13" s="1"/>
  <c r="C791" i="6"/>
  <c r="E137" i="3"/>
  <c r="E791" i="6" s="1"/>
  <c r="I226" i="6"/>
  <c r="F226" i="6"/>
  <c r="L269" i="6"/>
  <c r="I271" i="6"/>
  <c r="F271" i="6"/>
  <c r="G705" i="6"/>
  <c r="E351" i="13"/>
  <c r="C351" i="13" s="1"/>
  <c r="H798" i="6"/>
  <c r="J144" i="3"/>
  <c r="J798" i="6" s="1"/>
  <c r="H147" i="3"/>
  <c r="H801" i="6" s="1"/>
  <c r="I244" i="6"/>
  <c r="F244" i="6"/>
  <c r="P54" i="13"/>
  <c r="P57" i="13" s="1"/>
  <c r="C114" i="8"/>
  <c r="B64" i="8"/>
  <c r="D64" i="8" s="1"/>
  <c r="E345" i="13"/>
  <c r="C345" i="13" s="1"/>
  <c r="M790" i="6"/>
  <c r="O136" i="3"/>
  <c r="O790" i="6" s="1"/>
  <c r="M139" i="3"/>
  <c r="M793" i="6" s="1"/>
  <c r="E350" i="13"/>
  <c r="C350" i="13" s="1"/>
  <c r="C800" i="6"/>
  <c r="E146" i="3"/>
  <c r="E800" i="6" s="1"/>
  <c r="J314" i="13"/>
  <c r="N153" i="8"/>
  <c r="L247" i="6"/>
  <c r="O44" i="13"/>
  <c r="S79" i="8"/>
  <c r="I537" i="6"/>
  <c r="F537" i="6"/>
  <c r="I159" i="6"/>
  <c r="F159" i="6"/>
  <c r="I165" i="6"/>
  <c r="F165" i="6"/>
  <c r="O154" i="6"/>
  <c r="C34" i="2"/>
  <c r="C122" i="2" l="1"/>
  <c r="B139" i="8"/>
  <c r="D139" i="8" s="1"/>
  <c r="O535" i="6" s="1"/>
  <c r="B141" i="8"/>
  <c r="D141" i="8" s="1"/>
  <c r="O539" i="6" s="1"/>
  <c r="B142" i="8"/>
  <c r="D142" i="8" s="1"/>
  <c r="O541" i="6" s="1"/>
  <c r="F162" i="13"/>
  <c r="J130" i="8"/>
  <c r="P45" i="13"/>
  <c r="C89" i="8"/>
  <c r="B89" i="8"/>
  <c r="D89" i="8" s="1"/>
  <c r="P44" i="13"/>
  <c r="C79" i="8"/>
  <c r="N312" i="13"/>
  <c r="R151" i="8"/>
  <c r="P118" i="13"/>
  <c r="G289" i="13"/>
  <c r="L300" i="13" s="1"/>
  <c r="G300" i="13" s="1"/>
  <c r="J16" i="15" s="1"/>
  <c r="O227" i="13"/>
  <c r="O229" i="13" s="1"/>
  <c r="S138" i="8"/>
  <c r="B138" i="8" s="1"/>
  <c r="D138" i="8" s="1"/>
  <c r="H715" i="6"/>
  <c r="M64" i="3"/>
  <c r="M715" i="6" s="1"/>
  <c r="F194" i="13"/>
  <c r="F196" i="13" s="1"/>
  <c r="J132" i="8"/>
  <c r="M315" i="13"/>
  <c r="Q154" i="8"/>
  <c r="P36" i="13"/>
  <c r="C58" i="8"/>
  <c r="B79" i="8"/>
  <c r="D79" i="8" s="1"/>
  <c r="O271" i="6"/>
  <c r="C60" i="2"/>
  <c r="K314" i="13"/>
  <c r="O153" i="8"/>
  <c r="O269" i="6"/>
  <c r="C56" i="2"/>
  <c r="M313" i="13"/>
  <c r="Q152" i="8"/>
  <c r="O156" i="6"/>
  <c r="C35" i="2"/>
  <c r="M305" i="13"/>
  <c r="Q150" i="8"/>
  <c r="O310" i="6"/>
  <c r="C70" i="2"/>
  <c r="O437" i="6"/>
  <c r="C119" i="2"/>
  <c r="P33" i="13"/>
  <c r="C46" i="8"/>
  <c r="B46" i="8"/>
  <c r="D46" i="8" s="1"/>
  <c r="B75" i="13"/>
  <c r="J50" i="13"/>
  <c r="J75" i="13" s="1"/>
  <c r="G50" i="13"/>
  <c r="G75" i="13" s="1"/>
  <c r="K50" i="13"/>
  <c r="K75" i="13" s="1"/>
  <c r="L50" i="13"/>
  <c r="L75" i="13" s="1"/>
  <c r="E50" i="13"/>
  <c r="E75" i="13" s="1"/>
  <c r="H50" i="13"/>
  <c r="H75" i="13" s="1"/>
  <c r="O50" i="13"/>
  <c r="O75" i="13" s="1"/>
  <c r="C50" i="13"/>
  <c r="C75" i="13" s="1"/>
  <c r="F50" i="13"/>
  <c r="F75" i="13" s="1"/>
  <c r="M50" i="13"/>
  <c r="M75" i="13" s="1"/>
  <c r="D50" i="13"/>
  <c r="D75" i="13" s="1"/>
  <c r="N50" i="13"/>
  <c r="N75" i="13" s="1"/>
  <c r="P50" i="13"/>
  <c r="P75" i="13" s="1"/>
  <c r="I50" i="13"/>
  <c r="I75" i="13" s="1"/>
  <c r="O439" i="6"/>
  <c r="C120" i="2"/>
  <c r="P42" i="13"/>
  <c r="C68" i="8"/>
  <c r="O308" i="6"/>
  <c r="C66" i="2"/>
  <c r="P84" i="13"/>
  <c r="C117" i="8"/>
  <c r="P46" i="13"/>
  <c r="C99" i="8"/>
  <c r="B111" i="13"/>
  <c r="B99" i="8"/>
  <c r="D99" i="8" s="1"/>
  <c r="C145" i="2" l="1"/>
  <c r="C142" i="2"/>
  <c r="C144" i="2"/>
  <c r="G162" i="13"/>
  <c r="G164" i="13" s="1"/>
  <c r="K130" i="8"/>
  <c r="N315" i="13"/>
  <c r="R154" i="8"/>
  <c r="O533" i="6"/>
  <c r="C141" i="2"/>
  <c r="F164" i="13"/>
  <c r="O267" i="6"/>
  <c r="C48" i="2"/>
  <c r="O265" i="6"/>
  <c r="L314" i="13"/>
  <c r="P153" i="8"/>
  <c r="P227" i="13"/>
  <c r="C138" i="8"/>
  <c r="P86" i="13"/>
  <c r="G288" i="13"/>
  <c r="L299" i="13" s="1"/>
  <c r="G299" i="13" s="1"/>
  <c r="I16" i="15" s="1"/>
  <c r="B79" i="13"/>
  <c r="G194" i="13"/>
  <c r="K132" i="8"/>
  <c r="O316" i="6"/>
  <c r="C91" i="2"/>
  <c r="O312" i="13"/>
  <c r="S151" i="8"/>
  <c r="N305" i="13"/>
  <c r="R150" i="8"/>
  <c r="B139" i="13"/>
  <c r="J111" i="13"/>
  <c r="J139" i="13" s="1"/>
  <c r="O111" i="13"/>
  <c r="O139" i="13" s="1"/>
  <c r="C111" i="13"/>
  <c r="C139" i="13" s="1"/>
  <c r="D111" i="13"/>
  <c r="D139" i="13" s="1"/>
  <c r="N111" i="13"/>
  <c r="N139" i="13" s="1"/>
  <c r="K111" i="13"/>
  <c r="K139" i="13" s="1"/>
  <c r="H111" i="13"/>
  <c r="H139" i="13" s="1"/>
  <c r="G111" i="13"/>
  <c r="G139" i="13" s="1"/>
  <c r="E111" i="13"/>
  <c r="E139" i="13" s="1"/>
  <c r="L111" i="13"/>
  <c r="L139" i="13" s="1"/>
  <c r="P111" i="13"/>
  <c r="P139" i="13" s="1"/>
  <c r="F111" i="13"/>
  <c r="F139" i="13" s="1"/>
  <c r="M111" i="13"/>
  <c r="M139" i="13" s="1"/>
  <c r="I111" i="13"/>
  <c r="I139" i="13" s="1"/>
  <c r="O318" i="6"/>
  <c r="C101" i="2"/>
  <c r="N313" i="13"/>
  <c r="R152" i="8"/>
  <c r="O314" i="6"/>
  <c r="C81" i="2"/>
  <c r="B151" i="8"/>
  <c r="D151" i="8" s="1"/>
  <c r="P229" i="13" l="1"/>
  <c r="G290" i="13"/>
  <c r="L301" i="13" s="1"/>
  <c r="G301" i="13" s="1"/>
  <c r="K16" i="15" s="1"/>
  <c r="H194" i="13"/>
  <c r="H196" i="13" s="1"/>
  <c r="L132" i="8"/>
  <c r="M314" i="13"/>
  <c r="Q153" i="8"/>
  <c r="B107" i="13"/>
  <c r="J79" i="13"/>
  <c r="J107" i="13" s="1"/>
  <c r="F79" i="13"/>
  <c r="F107" i="13" s="1"/>
  <c r="K79" i="13"/>
  <c r="K107" i="13" s="1"/>
  <c r="M79" i="13"/>
  <c r="M107" i="13" s="1"/>
  <c r="H79" i="13"/>
  <c r="H107" i="13" s="1"/>
  <c r="P79" i="13"/>
  <c r="P107" i="13" s="1"/>
  <c r="L79" i="13"/>
  <c r="L107" i="13" s="1"/>
  <c r="N79" i="13"/>
  <c r="N107" i="13" s="1"/>
  <c r="E79" i="13"/>
  <c r="E107" i="13" s="1"/>
  <c r="C79" i="13"/>
  <c r="C107" i="13" s="1"/>
  <c r="G79" i="13"/>
  <c r="G107" i="13" s="1"/>
  <c r="O79" i="13"/>
  <c r="O107" i="13" s="1"/>
  <c r="D79" i="13"/>
  <c r="D107" i="13" s="1"/>
  <c r="I79" i="13"/>
  <c r="I107" i="13" s="1"/>
  <c r="O315" i="13"/>
  <c r="S154" i="8"/>
  <c r="P312" i="13"/>
  <c r="C151" i="8"/>
  <c r="G318" i="13"/>
  <c r="H162" i="13"/>
  <c r="L130" i="8"/>
  <c r="O305" i="13"/>
  <c r="S150" i="8"/>
  <c r="O313" i="13"/>
  <c r="S152" i="8"/>
  <c r="B152" i="8" s="1"/>
  <c r="D152" i="8" s="1"/>
  <c r="G196" i="13"/>
  <c r="D6" i="12"/>
  <c r="K82" i="3"/>
  <c r="C82" i="3" s="1"/>
  <c r="P305" i="13" l="1"/>
  <c r="C150" i="8"/>
  <c r="G317" i="13"/>
  <c r="B150" i="8"/>
  <c r="D150" i="8" s="1"/>
  <c r="N314" i="13"/>
  <c r="R153" i="8"/>
  <c r="C733" i="6"/>
  <c r="O81" i="3"/>
  <c r="O78" i="3"/>
  <c r="O76" i="3"/>
  <c r="O75" i="3"/>
  <c r="O79" i="3"/>
  <c r="O80" i="3"/>
  <c r="O77" i="3"/>
  <c r="P313" i="13"/>
  <c r="C152" i="8"/>
  <c r="G319" i="13"/>
  <c r="I162" i="13"/>
  <c r="I164" i="13" s="1"/>
  <c r="M130" i="8"/>
  <c r="A318" i="13"/>
  <c r="D318" i="13"/>
  <c r="P315" i="13"/>
  <c r="C154" i="8"/>
  <c r="B154" i="8"/>
  <c r="D154" i="8" s="1"/>
  <c r="I4" i="15"/>
  <c r="D7" i="12"/>
  <c r="I5" i="15" s="1"/>
  <c r="I194" i="13"/>
  <c r="I196" i="13" s="1"/>
  <c r="M132" i="8"/>
  <c r="H164" i="13"/>
  <c r="O728" i="6" l="1"/>
  <c r="G55" i="3"/>
  <c r="O314" i="13"/>
  <c r="S153" i="8"/>
  <c r="O731" i="6"/>
  <c r="M55" i="3"/>
  <c r="O730" i="6"/>
  <c r="K55" i="3"/>
  <c r="A317" i="13"/>
  <c r="D317" i="13"/>
  <c r="J162" i="13"/>
  <c r="N130" i="8"/>
  <c r="O726" i="6"/>
  <c r="C55" i="3"/>
  <c r="O727" i="6"/>
  <c r="E55" i="3"/>
  <c r="O732" i="6"/>
  <c r="O55" i="3"/>
  <c r="J194" i="13"/>
  <c r="J196" i="13" s="1"/>
  <c r="N132" i="8"/>
  <c r="D319" i="13"/>
  <c r="A319" i="13"/>
  <c r="O729" i="6"/>
  <c r="I55" i="3"/>
  <c r="P314" i="13" l="1"/>
  <c r="C153" i="8"/>
  <c r="G320" i="13"/>
  <c r="B153" i="8"/>
  <c r="D153" i="8" s="1"/>
  <c r="J164" i="13"/>
  <c r="I706" i="6"/>
  <c r="I60" i="3"/>
  <c r="I711" i="6" s="1"/>
  <c r="E706" i="6"/>
  <c r="E60" i="3"/>
  <c r="E711" i="6" s="1"/>
  <c r="C706" i="6"/>
  <c r="H65" i="3"/>
  <c r="C60" i="3"/>
  <c r="O706" i="6"/>
  <c r="O60" i="3"/>
  <c r="O711" i="6" s="1"/>
  <c r="K706" i="6"/>
  <c r="K60" i="3"/>
  <c r="K711" i="6" s="1"/>
  <c r="M706" i="6"/>
  <c r="M60" i="3"/>
  <c r="M711" i="6" s="1"/>
  <c r="K194" i="13"/>
  <c r="K196" i="13" s="1"/>
  <c r="O132" i="8"/>
  <c r="K162" i="13"/>
  <c r="K164" i="13" s="1"/>
  <c r="O130" i="8"/>
  <c r="G706" i="6"/>
  <c r="G60" i="3"/>
  <c r="G711" i="6" s="1"/>
  <c r="L162" i="13" l="1"/>
  <c r="L164" i="13" s="1"/>
  <c r="P130" i="8"/>
  <c r="H716" i="6"/>
  <c r="M65" i="3"/>
  <c r="M716" i="6" s="1"/>
  <c r="L194" i="13"/>
  <c r="L196" i="13" s="1"/>
  <c r="P132" i="8"/>
  <c r="A320" i="13"/>
  <c r="D320" i="13"/>
  <c r="C711" i="6"/>
  <c r="H66" i="3"/>
  <c r="M194" i="13" l="1"/>
  <c r="M196" i="13" s="1"/>
  <c r="Q132" i="8"/>
  <c r="M162" i="13"/>
  <c r="M164" i="13" s="1"/>
  <c r="Q130" i="8"/>
  <c r="H717" i="6"/>
  <c r="M66" i="3"/>
  <c r="H68" i="3"/>
  <c r="C327" i="13" l="1"/>
  <c r="M717" i="6"/>
  <c r="E89" i="3"/>
  <c r="M68" i="3"/>
  <c r="N194" i="13"/>
  <c r="N196" i="13" s="1"/>
  <c r="R132" i="8"/>
  <c r="N162" i="13"/>
  <c r="N164" i="13" s="1"/>
  <c r="R130" i="8"/>
  <c r="H719" i="6"/>
  <c r="H107" i="3"/>
  <c r="H760" i="6" s="1"/>
  <c r="H69" i="3"/>
  <c r="H720" i="6" s="1"/>
  <c r="H106" i="3"/>
  <c r="H759" i="6" s="1"/>
  <c r="H108" i="3"/>
  <c r="H761" i="6" s="1"/>
  <c r="E742" i="6" l="1"/>
  <c r="E88" i="3"/>
  <c r="E740" i="6" s="1"/>
  <c r="O162" i="13"/>
  <c r="O164" i="13" s="1"/>
  <c r="S130" i="8"/>
  <c r="B130" i="8" s="1"/>
  <c r="D130" i="8" s="1"/>
  <c r="O194" i="13"/>
  <c r="O196" i="13" s="1"/>
  <c r="S132" i="8"/>
  <c r="B132" i="8" s="1"/>
  <c r="D132" i="8" s="1"/>
  <c r="C134" i="2" s="1"/>
  <c r="F92" i="3"/>
  <c r="F745" i="6" s="1"/>
  <c r="M69" i="3"/>
  <c r="M719" i="6"/>
  <c r="K331" i="13"/>
  <c r="B334" i="13" s="1"/>
  <c r="C331" i="13" s="1"/>
  <c r="O483" i="6" l="1"/>
  <c r="O488" i="6"/>
  <c r="C132" i="2"/>
  <c r="P194" i="13"/>
  <c r="C132" i="8"/>
  <c r="D331" i="13"/>
  <c r="C332" i="13"/>
  <c r="P162" i="13"/>
  <c r="C130" i="8"/>
  <c r="M720" i="6"/>
  <c r="F94" i="3"/>
  <c r="F747" i="6" s="1"/>
  <c r="P196" i="13" l="1"/>
  <c r="G291" i="13"/>
  <c r="B189" i="13"/>
  <c r="P164" i="13"/>
  <c r="G292" i="13"/>
  <c r="B157" i="13"/>
  <c r="E331" i="13"/>
  <c r="D332" i="13"/>
  <c r="F331" i="13" l="1"/>
  <c r="E332" i="13"/>
  <c r="L302" i="13"/>
  <c r="G302" i="13" s="1"/>
  <c r="I17" i="15" s="1"/>
  <c r="B185" i="13"/>
  <c r="J157" i="13"/>
  <c r="J185" i="13" s="1"/>
  <c r="N157" i="13"/>
  <c r="N185" i="13" s="1"/>
  <c r="E157" i="13"/>
  <c r="E185" i="13" s="1"/>
  <c r="C157" i="13"/>
  <c r="C185" i="13" s="1"/>
  <c r="K157" i="13"/>
  <c r="K185" i="13" s="1"/>
  <c r="H157" i="13"/>
  <c r="H185" i="13" s="1"/>
  <c r="M157" i="13"/>
  <c r="M185" i="13" s="1"/>
  <c r="F157" i="13"/>
  <c r="F185" i="13" s="1"/>
  <c r="L157" i="13"/>
  <c r="L185" i="13" s="1"/>
  <c r="O157" i="13"/>
  <c r="O185" i="13" s="1"/>
  <c r="G157" i="13"/>
  <c r="G185" i="13" s="1"/>
  <c r="P157" i="13"/>
  <c r="P185" i="13" s="1"/>
  <c r="D157" i="13"/>
  <c r="D185" i="13" s="1"/>
  <c r="I157" i="13"/>
  <c r="I185" i="13" s="1"/>
  <c r="B217" i="13"/>
  <c r="C189" i="13"/>
  <c r="C217" i="13" s="1"/>
  <c r="E189" i="13"/>
  <c r="E217" i="13" s="1"/>
  <c r="D189" i="13"/>
  <c r="D217" i="13" s="1"/>
  <c r="F189" i="13"/>
  <c r="F217" i="13" s="1"/>
  <c r="G331" i="13" l="1"/>
  <c r="F332" i="13"/>
  <c r="H331" i="13" l="1"/>
  <c r="G332" i="13"/>
  <c r="I331" i="13" l="1"/>
  <c r="H332" i="13"/>
  <c r="J331" i="13" l="1"/>
  <c r="J332" i="13" s="1"/>
  <c r="I332" i="13"/>
</calcChain>
</file>

<file path=xl/sharedStrings.xml><?xml version="1.0" encoding="utf-8"?>
<sst xmlns="http://schemas.openxmlformats.org/spreadsheetml/2006/main" count="2104" uniqueCount="1049">
  <si>
    <t>Nome</t>
  </si>
  <si>
    <t>Claudinei Rogério Gasparoto</t>
  </si>
  <si>
    <t>Agenda</t>
  </si>
  <si>
    <t>Seg</t>
  </si>
  <si>
    <t>Ter</t>
  </si>
  <si>
    <t>Qua</t>
  </si>
  <si>
    <t>Qui</t>
  </si>
  <si>
    <t>Sex</t>
  </si>
  <si>
    <t>Sáb</t>
  </si>
  <si>
    <t>Dom</t>
  </si>
  <si>
    <t>Objetivo</t>
  </si>
  <si>
    <t>Atividade</t>
  </si>
  <si>
    <t>Tempo máximo</t>
  </si>
  <si>
    <t>Obs importante 1</t>
  </si>
  <si>
    <t>Tempo ideal</t>
  </si>
  <si>
    <t>Obs importante 2</t>
  </si>
  <si>
    <t>Atividade 2</t>
  </si>
  <si>
    <t>Tempo máximo 2</t>
  </si>
  <si>
    <t>Anotações gerais</t>
  </si>
  <si>
    <t>Tempo ideal 2</t>
  </si>
  <si>
    <t xml:space="preserve">Roteiro </t>
  </si>
  <si>
    <t>Explicar o motivo da avaliação e o serviços que serão feitos</t>
  </si>
  <si>
    <t>Perguntar sobre histórico com AF (relação com AF)</t>
  </si>
  <si>
    <t>Histórico Médico (ver anamnese)</t>
  </si>
  <si>
    <t>Se faz algum tratamento médico ou possui alguma doença</t>
  </si>
  <si>
    <t>Mais alguma coisa?</t>
  </si>
  <si>
    <t>Objetivos?</t>
  </si>
  <si>
    <t>Data de Nascimento</t>
  </si>
  <si>
    <t>Sexo</t>
  </si>
  <si>
    <t>Masculino</t>
  </si>
  <si>
    <t>NAF</t>
  </si>
  <si>
    <t>Ativo</t>
  </si>
  <si>
    <t>PAR-Q e VOCÊ</t>
  </si>
  <si>
    <t>Negativo</t>
  </si>
  <si>
    <t>Estratificação do Risco ACSM</t>
  </si>
  <si>
    <t>Baixo risco</t>
  </si>
  <si>
    <t>Versão 4.5.11</t>
  </si>
  <si>
    <t>△%Total</t>
  </si>
  <si>
    <t>Av1</t>
  </si>
  <si>
    <t>△%</t>
  </si>
  <si>
    <t>Av2</t>
  </si>
  <si>
    <t>Av3</t>
  </si>
  <si>
    <t>Av4</t>
  </si>
  <si>
    <t>Av5</t>
  </si>
  <si>
    <t>Av6</t>
  </si>
  <si>
    <t>Av7</t>
  </si>
  <si>
    <t>Av8</t>
  </si>
  <si>
    <t>Av9</t>
  </si>
  <si>
    <t>Av10</t>
  </si>
  <si>
    <t>Av11</t>
  </si>
  <si>
    <t>Av12</t>
  </si>
  <si>
    <t>Av13</t>
  </si>
  <si>
    <t>Av14</t>
  </si>
  <si>
    <t>Av15</t>
  </si>
  <si>
    <r>
      <rPr>
        <b/>
        <sz val="11"/>
        <color theme="1"/>
        <rFont val="Arial"/>
      </rPr>
      <t>Data da avaliação</t>
    </r>
    <r>
      <rPr>
        <sz val="7"/>
        <color theme="1"/>
        <rFont val="Arial"/>
      </rPr>
      <t>(DD/MM/YYYY)</t>
    </r>
  </si>
  <si>
    <t>-</t>
  </si>
  <si>
    <t>Tipo de Avaliação</t>
  </si>
  <si>
    <t>COMPLETA</t>
  </si>
  <si>
    <t>PARCIAL</t>
  </si>
  <si>
    <r>
      <rPr>
        <b/>
        <sz val="11"/>
        <color theme="1"/>
        <rFont val="Arial"/>
      </rPr>
      <t>Hora da avaliação</t>
    </r>
    <r>
      <rPr>
        <sz val="7"/>
        <color theme="1"/>
        <rFont val="Arial"/>
      </rPr>
      <t>(hh:mm)</t>
    </r>
  </si>
  <si>
    <t>Avaliador</t>
  </si>
  <si>
    <t>Luis Felipe</t>
  </si>
  <si>
    <t>Idade</t>
  </si>
  <si>
    <t>Data da reavaliação</t>
  </si>
  <si>
    <t>Peso e altura</t>
  </si>
  <si>
    <t>Peso (kg)</t>
  </si>
  <si>
    <r>
      <rPr>
        <b/>
        <sz val="11"/>
        <color theme="1"/>
        <rFont val="Arial"/>
      </rPr>
      <t xml:space="preserve">Estatura </t>
    </r>
    <r>
      <rPr>
        <b/>
        <sz val="11"/>
        <color theme="1"/>
        <rFont val="Arial"/>
      </rPr>
      <t>(cm)</t>
    </r>
  </si>
  <si>
    <t xml:space="preserve"> </t>
  </si>
  <si>
    <t>Circunferência</t>
  </si>
  <si>
    <t>Escapular</t>
  </si>
  <si>
    <t>Torácica Inspirada</t>
  </si>
  <si>
    <t>Torácica Expirada</t>
  </si>
  <si>
    <t>Abdominal</t>
  </si>
  <si>
    <t>Quadril</t>
  </si>
  <si>
    <t>Br. Dir. Rel.</t>
  </si>
  <si>
    <t>Br. Dir. Con.</t>
  </si>
  <si>
    <t>Coxa Dir.</t>
  </si>
  <si>
    <t>Perna Dir.</t>
  </si>
  <si>
    <t>Br. Esq. Rel.</t>
  </si>
  <si>
    <t>Br. Esq. Con.</t>
  </si>
  <si>
    <t>Coxa Esq.</t>
  </si>
  <si>
    <t>Perna Esq.</t>
  </si>
  <si>
    <t>Dobra Cutânea e TMB</t>
  </si>
  <si>
    <t>D.C. Tricipital</t>
  </si>
  <si>
    <t>D.C. Subescapular</t>
  </si>
  <si>
    <t>D.C. Suprailíaca</t>
  </si>
  <si>
    <t>D.C. Abdominal</t>
  </si>
  <si>
    <t>D.C. Coxa</t>
  </si>
  <si>
    <t>Total de Dobras*</t>
  </si>
  <si>
    <t>% Gordura</t>
  </si>
  <si>
    <r>
      <rPr>
        <b/>
        <sz val="11"/>
        <color theme="1"/>
        <rFont val="Arial"/>
      </rPr>
      <t xml:space="preserve">Gordura Absoluta </t>
    </r>
    <r>
      <rPr>
        <b/>
        <sz val="11"/>
        <color theme="1"/>
        <rFont val="Arial"/>
      </rPr>
      <t>(kg)</t>
    </r>
  </si>
  <si>
    <r>
      <rPr>
        <b/>
        <sz val="11"/>
        <color theme="1"/>
        <rFont val="Arial"/>
      </rPr>
      <t xml:space="preserve">Massa Magra </t>
    </r>
    <r>
      <rPr>
        <b/>
        <sz val="11"/>
        <color theme="1"/>
        <rFont val="Arial"/>
      </rPr>
      <t>(kg)</t>
    </r>
  </si>
  <si>
    <r>
      <rPr>
        <b/>
        <sz val="11"/>
        <color theme="1"/>
        <rFont val="Arial"/>
      </rPr>
      <t xml:space="preserve">Massa Muscular 
</t>
    </r>
    <r>
      <rPr>
        <b/>
        <sz val="11"/>
        <color theme="1"/>
        <rFont val="Arial"/>
      </rPr>
      <t>(kg; bioimpedância)</t>
    </r>
  </si>
  <si>
    <r>
      <rPr>
        <b/>
        <sz val="11"/>
        <color rgb="FF000000"/>
        <rFont val="Arial"/>
      </rPr>
      <t xml:space="preserve">Nível de Gordura Visceral </t>
    </r>
    <r>
      <rPr>
        <b/>
        <sz val="11"/>
        <color rgb="FF000000"/>
        <rFont val="Arial"/>
      </rPr>
      <t>(ua; bioimpedância)</t>
    </r>
  </si>
  <si>
    <r>
      <rPr>
        <b/>
        <sz val="11"/>
        <color rgb="FF000000"/>
        <rFont val="Arial"/>
      </rPr>
      <t xml:space="preserve">Taxa Metabólica Basal
</t>
    </r>
    <r>
      <rPr>
        <b/>
        <sz val="11"/>
        <color rgb="FF000000"/>
        <rFont val="Arial"/>
      </rPr>
      <t>(kcal; bioimpedância)</t>
    </r>
  </si>
  <si>
    <r>
      <rPr>
        <b/>
        <sz val="11"/>
        <color rgb="FF000000"/>
        <rFont val="Arial"/>
      </rPr>
      <t xml:space="preserve">Taxa Metabólica Basal
</t>
    </r>
    <r>
      <rPr>
        <b/>
        <sz val="11"/>
        <color rgb="FF000000"/>
        <rFont val="Arial"/>
      </rPr>
      <t>(kcal; Harris Benedict)</t>
    </r>
  </si>
  <si>
    <t>Taxa Metabólica Basal
(kcal; Média)</t>
  </si>
  <si>
    <r>
      <rPr>
        <b/>
        <sz val="11"/>
        <color theme="1"/>
        <rFont val="Arial"/>
      </rPr>
      <t xml:space="preserve">Área Muscular do Braço - UMA </t>
    </r>
    <r>
      <rPr>
        <b/>
        <sz val="11"/>
        <color theme="1"/>
        <rFont val="Arial"/>
      </rPr>
      <t>(cm²)</t>
    </r>
  </si>
  <si>
    <t>IMC</t>
  </si>
  <si>
    <t>Ultrassom</t>
  </si>
  <si>
    <t>M. Anter. do Br.(mm) - p1</t>
  </si>
  <si>
    <t>M. Anter. do Br.(mm) - p2</t>
  </si>
  <si>
    <t>M. Anter. do Br.(mm) - p3</t>
  </si>
  <si>
    <t>M. Anter. do Br.(mm) - p4</t>
  </si>
  <si>
    <t>Músculos Anteriores do Braço(mm)</t>
  </si>
  <si>
    <t>M. Post. do Br.(mm) - p1</t>
  </si>
  <si>
    <t>M. Post. do Br.(mm) - p2</t>
  </si>
  <si>
    <t>M. Post. do Br.(mm) - p3</t>
  </si>
  <si>
    <r>
      <rPr>
        <b/>
        <sz val="11"/>
        <color theme="1"/>
        <rFont val="Arial"/>
      </rPr>
      <t>Músculos Posteriores do Braço</t>
    </r>
    <r>
      <rPr>
        <b/>
        <vertAlign val="subscript"/>
        <sz val="11"/>
        <color theme="1"/>
        <rFont val="Arial"/>
      </rPr>
      <t>(mm)</t>
    </r>
  </si>
  <si>
    <t>Reto Femoral(mm) - p1</t>
  </si>
  <si>
    <t>Reto Femoral(mm) - p2</t>
  </si>
  <si>
    <t>Reto Femoral(mm) - p3</t>
  </si>
  <si>
    <t>Músculo Reto Femoral (mm)</t>
  </si>
  <si>
    <t>Vasto Intermédio(mm) - p1</t>
  </si>
  <si>
    <t>Vasto Intermédio(mm) - p2</t>
  </si>
  <si>
    <t>Vasto Intermédio(mm) - p3</t>
  </si>
  <si>
    <t>Músculo Vasto Intermédio (mm)</t>
  </si>
  <si>
    <r>
      <rPr>
        <b/>
        <sz val="11"/>
        <color theme="1"/>
        <rFont val="Arial"/>
      </rPr>
      <t>Músculos Anteriores da Coxa</t>
    </r>
    <r>
      <rPr>
        <b/>
        <vertAlign val="subscript"/>
        <sz val="11"/>
        <color theme="1"/>
        <rFont val="Arial"/>
      </rPr>
      <t>(mm)</t>
    </r>
  </si>
  <si>
    <t>G. Abd. S. Sup. (mm) - p1</t>
  </si>
  <si>
    <t>G. Abd. S. Sup. (mm) - p2</t>
  </si>
  <si>
    <t>G. Abd. S. Sup. (mm) - p3</t>
  </si>
  <si>
    <r>
      <rPr>
        <b/>
        <sz val="11"/>
        <color rgb="FF000000"/>
        <rFont val="Arial"/>
      </rPr>
      <t>Gordura Abdominal Subcutânea Superficial</t>
    </r>
    <r>
      <rPr>
        <b/>
        <vertAlign val="subscript"/>
        <sz val="11"/>
        <color rgb="FF000000"/>
        <rFont val="Arial"/>
      </rPr>
      <t>(mm)</t>
    </r>
  </si>
  <si>
    <t>G. Abd. S. Prof.(mm) - p1</t>
  </si>
  <si>
    <t>G. Abd. S. Prof.(mm) - p2</t>
  </si>
  <si>
    <t>G. Abd. S. Prof.(mm) - p3</t>
  </si>
  <si>
    <r>
      <rPr>
        <b/>
        <sz val="11"/>
        <color rgb="FF000000"/>
        <rFont val="Arial"/>
      </rPr>
      <t>Gordura Abdominal Subcutânea Profunda</t>
    </r>
    <r>
      <rPr>
        <b/>
        <vertAlign val="subscript"/>
        <sz val="11"/>
        <color rgb="FF000000"/>
        <rFont val="Arial"/>
      </rPr>
      <t>(mm)</t>
    </r>
  </si>
  <si>
    <r>
      <rPr>
        <b/>
        <sz val="11"/>
        <color rgb="FF000000"/>
        <rFont val="Arial"/>
      </rPr>
      <t>Gordura Abdominal Supra muscular total</t>
    </r>
    <r>
      <rPr>
        <b/>
        <vertAlign val="subscript"/>
        <sz val="11"/>
        <color rgb="FF000000"/>
        <rFont val="Arial"/>
      </rPr>
      <t>(mm)</t>
    </r>
  </si>
  <si>
    <t>G. C. Ant. do Br(mm) - p1</t>
  </si>
  <si>
    <t>G. C. Ant. do Br(mm) - p2</t>
  </si>
  <si>
    <t>G. C. Ant. do Br(mm) - p3</t>
  </si>
  <si>
    <t>G. C. Ant. do Br(mm) - p4</t>
  </si>
  <si>
    <t>G. C. Ant. do Br(mm) - p5</t>
  </si>
  <si>
    <t>G. C. Ant. do Br(mm) - p6</t>
  </si>
  <si>
    <t>G. C. Ant. do Br(mm) - p7</t>
  </si>
  <si>
    <t>G. C. Ant. do Br(mm) - p8</t>
  </si>
  <si>
    <t>G. C. Ant. do Br(mm) - p9</t>
  </si>
  <si>
    <r>
      <rPr>
        <b/>
        <sz val="11"/>
        <color rgb="FF000000"/>
        <rFont val="Arial"/>
      </rPr>
      <t>Compartimento Anterior do Braço</t>
    </r>
    <r>
      <rPr>
        <b/>
        <vertAlign val="subscript"/>
        <sz val="11"/>
        <color rgb="FF000000"/>
        <rFont val="Arial"/>
      </rPr>
      <t>(mm)</t>
    </r>
  </si>
  <si>
    <t>G. C. Post. do Br(mm) - p1</t>
  </si>
  <si>
    <t>G. C. Post. do Br(mm) - p2</t>
  </si>
  <si>
    <t>G. C. Post. do Br(mm) - p3</t>
  </si>
  <si>
    <t>G. C. Post. do Br(mm) - p4</t>
  </si>
  <si>
    <t>G. C. Post. do Br(mm) - p5</t>
  </si>
  <si>
    <t>G. C. Post. do Br(mm) - p6</t>
  </si>
  <si>
    <t>G. C. Post. do Br(mm) - p7</t>
  </si>
  <si>
    <t>G. C. Post. do Br(mm) - p8</t>
  </si>
  <si>
    <t>G. C. Post. do Br(mm) - p9</t>
  </si>
  <si>
    <r>
      <rPr>
        <b/>
        <sz val="11"/>
        <color rgb="FF000000"/>
        <rFont val="Arial"/>
      </rPr>
      <t>Compartimento Posterior do Braço</t>
    </r>
    <r>
      <rPr>
        <b/>
        <vertAlign val="subscript"/>
        <sz val="11"/>
        <color rgb="FF000000"/>
        <rFont val="Arial"/>
      </rPr>
      <t>(mm)</t>
    </r>
  </si>
  <si>
    <t>G. C. Ant. da Coxa(mm) - p1</t>
  </si>
  <si>
    <t>G. C. Ant. da Coxa(mm) - p2</t>
  </si>
  <si>
    <t>G. C. Ant. da Coxa(mm) - p3</t>
  </si>
  <si>
    <t>G. C. Ant. da Coxa(mm) - p4</t>
  </si>
  <si>
    <t>G. C. Ant. da Coxa(mm) - p5</t>
  </si>
  <si>
    <t>G. C. Ant. da Coxa(mm) - p6</t>
  </si>
  <si>
    <t>G. C. Ant. da Coxa(mm) - p7</t>
  </si>
  <si>
    <t>G. C. Ant. da Coxa(mm) - p8</t>
  </si>
  <si>
    <t>G. C. Ant. da Coxa(mm) - p9</t>
  </si>
  <si>
    <r>
      <rPr>
        <b/>
        <sz val="11"/>
        <color rgb="FF000000"/>
        <rFont val="Arial"/>
      </rPr>
      <t>Compartimento Anterior da Coxa</t>
    </r>
    <r>
      <rPr>
        <b/>
        <vertAlign val="subscript"/>
        <sz val="11"/>
        <color rgb="FF000000"/>
        <rFont val="Arial"/>
      </rPr>
      <t>(mm)</t>
    </r>
  </si>
  <si>
    <t>Massa Corporal Segmentada</t>
  </si>
  <si>
    <t>M. Perna Direita</t>
  </si>
  <si>
    <t>M. Perna Esquerda</t>
  </si>
  <si>
    <t>M. Braço Direito</t>
  </si>
  <si>
    <t>M. Braço Esquerdo</t>
  </si>
  <si>
    <t>M. Tronco</t>
  </si>
  <si>
    <t>G. Perna Direita</t>
  </si>
  <si>
    <t>G. Perna Esquerda</t>
  </si>
  <si>
    <t>G. Braço Direito</t>
  </si>
  <si>
    <t>G. Braço Esquerdo</t>
  </si>
  <si>
    <t>G. Tronco</t>
  </si>
  <si>
    <t>Relação Abdome-Quadril</t>
  </si>
  <si>
    <t>Perímetro Abdominal</t>
  </si>
  <si>
    <t>Relação Abdome - Quadril</t>
  </si>
  <si>
    <t>Risco Coronariano Atual</t>
  </si>
  <si>
    <t>RML e Flexibilidade</t>
  </si>
  <si>
    <t>RML Abdominal</t>
  </si>
  <si>
    <t>Flexibilidade</t>
  </si>
  <si>
    <t>R. Abdominal</t>
  </si>
  <si>
    <t>R. Flexibilidade</t>
  </si>
  <si>
    <t>*Obs.: [texto]</t>
  </si>
  <si>
    <t>Força Muscular</t>
  </si>
  <si>
    <t>Supino Carga Teste</t>
  </si>
  <si>
    <t>Supino Repetições</t>
  </si>
  <si>
    <t>Leg Press Carga Teste</t>
  </si>
  <si>
    <t>Leg Press Repetições</t>
  </si>
  <si>
    <t>1RM - Supino Absoluto</t>
  </si>
  <si>
    <t>1RM - Leg Press Absoluto</t>
  </si>
  <si>
    <t>1RM - Supino Relativo</t>
  </si>
  <si>
    <t>R. 1RM - Supino</t>
  </si>
  <si>
    <t>1RM - Leg Press Relativo</t>
  </si>
  <si>
    <t>R. 1RM - Leg Press</t>
  </si>
  <si>
    <t>Ventilometria</t>
  </si>
  <si>
    <t>Protocolo</t>
  </si>
  <si>
    <r>
      <rPr>
        <b/>
        <sz val="11"/>
        <color rgb="FF000000"/>
        <rFont val="Arial"/>
      </rPr>
      <t>FC Repouso</t>
    </r>
    <r>
      <rPr>
        <b/>
        <sz val="11"/>
        <color rgb="FF000000"/>
        <rFont val="Arial"/>
      </rPr>
      <t>(bpm)</t>
    </r>
  </si>
  <si>
    <r>
      <rPr>
        <b/>
        <sz val="11"/>
        <color rgb="FF000000"/>
        <rFont val="Arial"/>
      </rPr>
      <t xml:space="preserve">VO2Máximo </t>
    </r>
    <r>
      <rPr>
        <b/>
        <sz val="11"/>
        <color rgb="FF000000"/>
        <rFont val="Arial"/>
      </rPr>
      <t>(ml/kg/min)</t>
    </r>
  </si>
  <si>
    <t>R. VO2Máximo</t>
  </si>
  <si>
    <r>
      <rPr>
        <b/>
        <sz val="11"/>
        <color rgb="FF000000"/>
        <rFont val="Arial"/>
      </rPr>
      <t xml:space="preserve">Limiar Anaeróbico </t>
    </r>
    <r>
      <rPr>
        <b/>
        <sz val="11"/>
        <color rgb="FF000000"/>
        <rFont val="Arial"/>
      </rPr>
      <t>(bpm)</t>
    </r>
    <r>
      <rPr>
        <b/>
        <sz val="11"/>
        <color rgb="FF000000"/>
        <rFont val="Arial"/>
      </rPr>
      <t xml:space="preserve"> </t>
    </r>
  </si>
  <si>
    <r>
      <rPr>
        <b/>
        <sz val="11"/>
        <color rgb="FF000000"/>
        <rFont val="Arial"/>
      </rPr>
      <t xml:space="preserve">Limiar Anaeróbico </t>
    </r>
    <r>
      <rPr>
        <b/>
        <sz val="11"/>
        <color rgb="FF000000"/>
        <rFont val="Arial"/>
      </rPr>
      <t>(km/h)</t>
    </r>
    <r>
      <rPr>
        <b/>
        <sz val="11"/>
        <color rgb="FF000000"/>
        <rFont val="Arial"/>
      </rPr>
      <t xml:space="preserve"> </t>
    </r>
  </si>
  <si>
    <r>
      <rPr>
        <b/>
        <sz val="11"/>
        <color rgb="FF000000"/>
        <rFont val="Arial"/>
      </rPr>
      <t xml:space="preserve">Limiar Anaeróbico </t>
    </r>
    <r>
      <rPr>
        <b/>
        <sz val="11"/>
        <color rgb="FF000000"/>
        <rFont val="Arial"/>
      </rPr>
      <t>(Pace)</t>
    </r>
    <r>
      <rPr>
        <b/>
        <sz val="11"/>
        <color rgb="FF000000"/>
        <rFont val="Arial"/>
      </rPr>
      <t xml:space="preserve"> </t>
    </r>
  </si>
  <si>
    <r>
      <rPr>
        <b/>
        <sz val="11"/>
        <color rgb="FF000000"/>
        <rFont val="Arial"/>
      </rPr>
      <t xml:space="preserve">Velocidade Máxima </t>
    </r>
    <r>
      <rPr>
        <b/>
        <sz val="11"/>
        <color rgb="FF000000"/>
        <rFont val="Arial"/>
      </rPr>
      <t>(km/h)</t>
    </r>
    <r>
      <rPr>
        <b/>
        <sz val="11"/>
        <color rgb="FF000000"/>
        <rFont val="Arial"/>
      </rPr>
      <t xml:space="preserve"> </t>
    </r>
  </si>
  <si>
    <r>
      <rPr>
        <b/>
        <sz val="11"/>
        <color rgb="FF000000"/>
        <rFont val="Arial"/>
      </rPr>
      <t xml:space="preserve">FC Máxima Predita </t>
    </r>
    <r>
      <rPr>
        <b/>
        <sz val="11"/>
        <color rgb="FF000000"/>
        <rFont val="Arial"/>
      </rPr>
      <t>(bpm)</t>
    </r>
    <r>
      <rPr>
        <b/>
        <sz val="11"/>
        <color rgb="FF000000"/>
        <rFont val="Arial"/>
      </rPr>
      <t xml:space="preserve"> </t>
    </r>
  </si>
  <si>
    <r>
      <rPr>
        <b/>
        <sz val="11"/>
        <color rgb="FF000000"/>
        <rFont val="Arial"/>
      </rPr>
      <t xml:space="preserve">FC Máxima no Teste </t>
    </r>
    <r>
      <rPr>
        <b/>
        <sz val="11"/>
        <color rgb="FF000000"/>
        <rFont val="Arial"/>
      </rPr>
      <t>(bpm)</t>
    </r>
    <r>
      <rPr>
        <b/>
        <sz val="11"/>
        <color rgb="FF000000"/>
        <rFont val="Arial"/>
      </rPr>
      <t xml:space="preserve"> </t>
    </r>
  </si>
  <si>
    <t>Outros Componentes</t>
  </si>
  <si>
    <t>Variável 1</t>
  </si>
  <si>
    <t>Variável 2</t>
  </si>
  <si>
    <t>Variável 3</t>
  </si>
  <si>
    <t>Variável 4</t>
  </si>
  <si>
    <t>Variável 5</t>
  </si>
  <si>
    <t>Variável 6</t>
  </si>
  <si>
    <t>Variável 7</t>
  </si>
  <si>
    <t>Variável 8</t>
  </si>
  <si>
    <t>Variável 9</t>
  </si>
  <si>
    <t>Variável 10</t>
  </si>
  <si>
    <t>Composição Corporal Meta Etapa</t>
  </si>
  <si>
    <t>Valor Atual</t>
  </si>
  <si>
    <t>Meta Proposta</t>
  </si>
  <si>
    <t>MÍN</t>
  </si>
  <si>
    <t>MÁX</t>
  </si>
  <si>
    <r>
      <rPr>
        <b/>
        <sz val="10"/>
        <color theme="1"/>
        <rFont val="Arial"/>
      </rPr>
      <t>Gordura Absoluta</t>
    </r>
    <r>
      <rPr>
        <sz val="8"/>
        <color theme="1"/>
        <rFont val="Arial"/>
      </rPr>
      <t>(kg)</t>
    </r>
  </si>
  <si>
    <r>
      <rPr>
        <b/>
        <sz val="10"/>
        <color theme="1"/>
        <rFont val="Arial"/>
      </rPr>
      <t>Massa Magra</t>
    </r>
    <r>
      <rPr>
        <sz val="8"/>
        <color theme="1"/>
        <rFont val="Arial"/>
      </rPr>
      <t>(kg)</t>
    </r>
  </si>
  <si>
    <r>
      <rPr>
        <b/>
        <sz val="10"/>
        <color theme="1"/>
        <rFont val="Arial"/>
      </rPr>
      <t xml:space="preserve">Nível de Gordura Visceral
</t>
    </r>
    <r>
      <rPr>
        <sz val="8"/>
        <color theme="1"/>
        <rFont val="Arial"/>
      </rPr>
      <t>(ua; bioimpedância)</t>
    </r>
  </si>
  <si>
    <r>
      <rPr>
        <b/>
        <sz val="10"/>
        <color theme="1"/>
        <rFont val="Arial"/>
      </rPr>
      <t xml:space="preserve">Peso Corporal Total </t>
    </r>
    <r>
      <rPr>
        <sz val="8"/>
        <color theme="1"/>
        <rFont val="Arial"/>
      </rPr>
      <t>(kg)</t>
    </r>
  </si>
  <si>
    <r>
      <rPr>
        <b/>
        <sz val="10"/>
        <color theme="1"/>
        <rFont val="Arial"/>
      </rPr>
      <t xml:space="preserve">Variação máxima de peso saudável </t>
    </r>
    <r>
      <rPr>
        <sz val="8"/>
        <color theme="1"/>
        <rFont val="Arial"/>
      </rPr>
      <t>(kg)</t>
    </r>
  </si>
  <si>
    <t>Metas:</t>
  </si>
  <si>
    <t>Estudo Calórico Atual</t>
  </si>
  <si>
    <r>
      <rPr>
        <b/>
        <sz val="10"/>
        <color rgb="FF000000"/>
        <rFont val="Arial, sans-serif"/>
      </rPr>
      <t xml:space="preserve">Taxa Metabólica Basal 
</t>
    </r>
    <r>
      <rPr>
        <sz val="8"/>
        <color rgb="FF000000"/>
        <rFont val="Arial, sans-serif"/>
      </rPr>
      <t>(Haris Benedict; kcal)</t>
    </r>
  </si>
  <si>
    <r>
      <rPr>
        <b/>
        <sz val="10"/>
        <color rgb="FF000000"/>
        <rFont val="Arial, sans-serif"/>
      </rPr>
      <t xml:space="preserve">Taxa Metabólica Média
</t>
    </r>
    <r>
      <rPr>
        <sz val="8"/>
        <color rgb="FF000000"/>
        <rFont val="Arial, sans-serif"/>
      </rPr>
      <t>(kcal)</t>
    </r>
  </si>
  <si>
    <r>
      <rPr>
        <b/>
        <sz val="10"/>
        <color rgb="FF000000"/>
        <rFont val="Arial, sans-serif"/>
      </rPr>
      <t xml:space="preserve">Taxa Metabólica Basal 
</t>
    </r>
    <r>
      <rPr>
        <sz val="8"/>
        <color rgb="FF000000"/>
        <rFont val="Arial, sans-serif"/>
      </rPr>
      <t>(Bioimpedância; kcal)</t>
    </r>
  </si>
  <si>
    <t>Regra de Bolso</t>
  </si>
  <si>
    <t>Mínimo</t>
  </si>
  <si>
    <t>Máximo</t>
  </si>
  <si>
    <t>Médio</t>
  </si>
  <si>
    <t>Redução de Peso</t>
  </si>
  <si>
    <t>Manutenção de Peso</t>
  </si>
  <si>
    <t>Ganho de Peso</t>
  </si>
  <si>
    <t xml:space="preserve">Dia da Semana </t>
  </si>
  <si>
    <t>Segunda</t>
  </si>
  <si>
    <t>Terça</t>
  </si>
  <si>
    <t>Quarta</t>
  </si>
  <si>
    <t>Quinta</t>
  </si>
  <si>
    <t>Sexta</t>
  </si>
  <si>
    <t>Sábado</t>
  </si>
  <si>
    <t>Domingo</t>
  </si>
  <si>
    <t>TMB</t>
  </si>
  <si>
    <t>Gasto energético c/ o exercício</t>
  </si>
  <si>
    <t>Outros gastos energéticos</t>
  </si>
  <si>
    <t>Necessidade Energética</t>
  </si>
  <si>
    <t>Total na semana</t>
  </si>
  <si>
    <t>Média Diária</t>
  </si>
  <si>
    <t>Aporte Energético Sugerido</t>
  </si>
  <si>
    <t>Diferença Absoluta</t>
  </si>
  <si>
    <t>Diferença Relativa</t>
  </si>
  <si>
    <t>Estimativa de gasto energético c/ o exercício</t>
  </si>
  <si>
    <t>Dia da semana</t>
  </si>
  <si>
    <t>Volume Treino Resistido (min)</t>
  </si>
  <si>
    <t>Volume Treino Cíclico (min)</t>
  </si>
  <si>
    <t>%VO₂Médio</t>
  </si>
  <si>
    <t>kcal gasto no dia</t>
  </si>
  <si>
    <t>VO₂Máx</t>
  </si>
  <si>
    <t>ml/kg/min</t>
  </si>
  <si>
    <t>Última Avaliação:</t>
  </si>
  <si>
    <t>Estratégia de aporte energético</t>
  </si>
  <si>
    <t>Macronutrientes</t>
  </si>
  <si>
    <t>g/kg</t>
  </si>
  <si>
    <t>g/dia</t>
  </si>
  <si>
    <t>kcal/dia</t>
  </si>
  <si>
    <t>%</t>
  </si>
  <si>
    <t>Diferença % em relação à necessidade estimada</t>
  </si>
  <si>
    <t>Proteínas</t>
  </si>
  <si>
    <t>Carboidratos</t>
  </si>
  <si>
    <t>Tipo de Dieta</t>
  </si>
  <si>
    <t>Lipídios</t>
  </si>
  <si>
    <t>Disponibilidade Energética</t>
  </si>
  <si>
    <t>Total de Kcal/dia</t>
  </si>
  <si>
    <t>Aporte energético Diário Sugerido</t>
  </si>
  <si>
    <t>Usar Massa magra como referência</t>
  </si>
  <si>
    <t>Diferença Absoluta Necessidade vs Consumo</t>
  </si>
  <si>
    <t>Diferença Percentual Necessidade vs Consumo</t>
  </si>
  <si>
    <t>Estimativa de Emagrecimento:</t>
  </si>
  <si>
    <t>Variação de Redução de Gordura Estimada</t>
  </si>
  <si>
    <t>Variação de Redução 1kg de gordura</t>
  </si>
  <si>
    <t>Refeições:</t>
  </si>
  <si>
    <t>Distribuição (%)</t>
  </si>
  <si>
    <t>kcal</t>
  </si>
  <si>
    <r>
      <rPr>
        <b/>
        <sz val="10"/>
        <color theme="1"/>
        <rFont val="Arial"/>
      </rPr>
      <t xml:space="preserve">Horário </t>
    </r>
    <r>
      <rPr>
        <sz val="7"/>
        <color theme="1"/>
        <rFont val="Arial"/>
      </rPr>
      <t>(hh:mm)</t>
    </r>
  </si>
  <si>
    <t>Café da Manhã</t>
  </si>
  <si>
    <t>Lanche da Manhã</t>
  </si>
  <si>
    <t>Almoço</t>
  </si>
  <si>
    <t>Lanche da Tarde</t>
  </si>
  <si>
    <t>Jantar</t>
  </si>
  <si>
    <t>Total</t>
  </si>
  <si>
    <t>g</t>
  </si>
  <si>
    <t>CHO</t>
  </si>
  <si>
    <t>PRO</t>
  </si>
  <si>
    <t>LIP</t>
  </si>
  <si>
    <t>Pré</t>
  </si>
  <si>
    <t>Pós</t>
  </si>
  <si>
    <t>Pressão Arterial Sistólica</t>
  </si>
  <si>
    <t>Pressão Arterial Diastólica</t>
  </si>
  <si>
    <t>Fórmula</t>
  </si>
  <si>
    <t>VO₂Max</t>
  </si>
  <si>
    <t>Limiar anaeróbico(bpm)</t>
  </si>
  <si>
    <t>Limiar anaeróbico (km/h ou watts)</t>
  </si>
  <si>
    <t>Limiar anaeróbico (pace)</t>
  </si>
  <si>
    <t>Velocidade Máxima (km/h ou watts)</t>
  </si>
  <si>
    <t>FC Repouso</t>
  </si>
  <si>
    <t>FC máxima predita (bpm)</t>
  </si>
  <si>
    <t>FC máxima no teste (bpm)</t>
  </si>
  <si>
    <t>Teste de Esteira Progressiva</t>
  </si>
  <si>
    <t>Estágio</t>
  </si>
  <si>
    <t>Incl.</t>
  </si>
  <si>
    <t>Vel.</t>
  </si>
  <si>
    <t>Watts</t>
  </si>
  <si>
    <t>FC</t>
  </si>
  <si>
    <t>PSE</t>
  </si>
  <si>
    <t>R1</t>
  </si>
  <si>
    <t>R2</t>
  </si>
  <si>
    <t>Observações</t>
  </si>
  <si>
    <t>Estágio Interrompido</t>
  </si>
  <si>
    <t>Estágio Completo</t>
  </si>
  <si>
    <t>Zonas</t>
  </si>
  <si>
    <t>%Vo2</t>
  </si>
  <si>
    <t>Sugestão</t>
  </si>
  <si>
    <t>Laudo</t>
  </si>
  <si>
    <t>Espessura de tecido - Ultrassom</t>
  </si>
  <si>
    <t>Avaliação Postural</t>
  </si>
  <si>
    <t>Foto Frontal</t>
  </si>
  <si>
    <t>Cabeça e Pescoço</t>
  </si>
  <si>
    <t>Ombros</t>
  </si>
  <si>
    <t>Coluna</t>
  </si>
  <si>
    <t>Joelhos</t>
  </si>
  <si>
    <r>
      <rPr>
        <b/>
        <sz val="10"/>
        <color theme="1"/>
        <rFont val="Arial"/>
      </rPr>
      <t xml:space="preserve">Calcanhares </t>
    </r>
    <r>
      <rPr>
        <sz val="8"/>
        <color theme="1"/>
        <rFont val="Arial"/>
      </rPr>
      <t>(Baropodometria)</t>
    </r>
  </si>
  <si>
    <r>
      <rPr>
        <b/>
        <sz val="10"/>
        <color theme="1"/>
        <rFont val="Arial"/>
      </rPr>
      <t xml:space="preserve">Pés </t>
    </r>
    <r>
      <rPr>
        <sz val="8"/>
        <color theme="1"/>
        <rFont val="Arial"/>
      </rPr>
      <t>(Baropodometria)</t>
    </r>
  </si>
  <si>
    <t>Foto Lateral</t>
  </si>
  <si>
    <t>Pescoço e Peitoral</t>
  </si>
  <si>
    <t>Ombros e escápulas</t>
  </si>
  <si>
    <t>Cifose</t>
  </si>
  <si>
    <t>Lordose</t>
  </si>
  <si>
    <t>Tronco</t>
  </si>
  <si>
    <t>Abdome</t>
  </si>
  <si>
    <t>Escore da avaliação (Região)</t>
  </si>
  <si>
    <t>Coluna Dorsal e Lombar</t>
  </si>
  <si>
    <t>Abdomên e Quadril</t>
  </si>
  <si>
    <t>Membros Inferiores</t>
  </si>
  <si>
    <t>Índice de Correção Postural</t>
  </si>
  <si>
    <t>Laudo de Avaliação de</t>
  </si>
  <si>
    <t>Laudo de Avaliação física</t>
  </si>
  <si>
    <t>I N T R O D U Ç Ã O</t>
  </si>
  <si>
    <t>ACESSO Saúde e Performance | CNPJ: 30.119.562/0001-10 | 15 996681457 | @acesso.saude.performance
Desenvolvido por Prof. Dr. Luis Felipe Milano Teixeira | CREF: SP-025068</t>
  </si>
  <si>
    <t>I D E N T I F I C A Ç Ã O</t>
  </si>
  <si>
    <t>Data Avaliação</t>
  </si>
  <si>
    <t>Hora Avaliação</t>
  </si>
  <si>
    <t>Dt Nasc.</t>
  </si>
  <si>
    <t>Dt. Reavaliação</t>
  </si>
  <si>
    <t>PAR-Q</t>
  </si>
  <si>
    <t>Estrat. Risco ACSM</t>
  </si>
  <si>
    <t>D A D O S   A N T R O P O M É T R I C O S</t>
  </si>
  <si>
    <r>
      <rPr>
        <b/>
        <sz val="10"/>
        <color theme="1"/>
        <rFont val="Arial"/>
      </rPr>
      <t xml:space="preserve">Variável
</t>
    </r>
    <r>
      <rPr>
        <sz val="8"/>
        <color theme="1"/>
        <rFont val="Arial"/>
      </rPr>
      <t>(cm)</t>
    </r>
  </si>
  <si>
    <t>Total
△%</t>
  </si>
  <si>
    <r>
      <rPr>
        <b/>
        <sz val="10"/>
        <color theme="1"/>
        <rFont val="Arial"/>
      </rPr>
      <t>Peso</t>
    </r>
    <r>
      <rPr>
        <sz val="8"/>
        <color theme="1"/>
        <rFont val="Arial"/>
      </rPr>
      <t>(kg)</t>
    </r>
  </si>
  <si>
    <t>Estatura</t>
  </si>
  <si>
    <t>C O M P O S I Ç Ã O   C O R P O R A L</t>
  </si>
  <si>
    <r>
      <rPr>
        <b/>
        <sz val="10"/>
        <color theme="1"/>
        <rFont val="Arial"/>
      </rPr>
      <t xml:space="preserve">Dobra Cutânea
</t>
    </r>
    <r>
      <rPr>
        <sz val="8"/>
        <color theme="1"/>
        <rFont val="Arial"/>
      </rPr>
      <t>(mm)</t>
    </r>
  </si>
  <si>
    <t>Total de Dobras</t>
  </si>
  <si>
    <r>
      <rPr>
        <b/>
        <sz val="10"/>
        <color theme="1"/>
        <rFont val="Arial"/>
      </rPr>
      <t>Peso</t>
    </r>
    <r>
      <rPr>
        <sz val="8"/>
        <color theme="1"/>
        <rFont val="Arial"/>
      </rPr>
      <t>(kg)</t>
    </r>
  </si>
  <si>
    <r>
      <rPr>
        <b/>
        <sz val="10"/>
        <color theme="1"/>
        <rFont val="Arial"/>
      </rPr>
      <t>Gordura
Absoluta</t>
    </r>
    <r>
      <rPr>
        <sz val="8"/>
        <color theme="1"/>
        <rFont val="Arial"/>
      </rPr>
      <t>(kg)</t>
    </r>
  </si>
  <si>
    <r>
      <rPr>
        <b/>
        <sz val="10"/>
        <color theme="1"/>
        <rFont val="Arial"/>
      </rPr>
      <t>Massa Magra</t>
    </r>
    <r>
      <rPr>
        <sz val="8"/>
        <color theme="1"/>
        <rFont val="Arial"/>
      </rPr>
      <t>(kg)</t>
    </r>
  </si>
  <si>
    <r>
      <rPr>
        <b/>
        <sz val="10"/>
        <color theme="1"/>
        <rFont val="Arial"/>
      </rPr>
      <t xml:space="preserve">Massa Muscular 
</t>
    </r>
    <r>
      <rPr>
        <sz val="8"/>
        <color theme="1"/>
        <rFont val="Arial"/>
      </rPr>
      <t>(kg; bioimpedância)</t>
    </r>
  </si>
  <si>
    <r>
      <rPr>
        <b/>
        <sz val="10"/>
        <color theme="1"/>
        <rFont val="Arial"/>
      </rPr>
      <t xml:space="preserve">Nível de Gordura Visceral 
</t>
    </r>
    <r>
      <rPr>
        <sz val="8"/>
        <color theme="1"/>
        <rFont val="Arial"/>
      </rPr>
      <t>(ua; bioimpedância)</t>
    </r>
  </si>
  <si>
    <r>
      <rPr>
        <b/>
        <sz val="10"/>
        <color theme="1"/>
        <rFont val="Arial"/>
      </rPr>
      <t>Área Muscular do Braço - UMA</t>
    </r>
    <r>
      <rPr>
        <sz val="8"/>
        <color theme="1"/>
        <rFont val="Arial"/>
      </rPr>
      <t>(cm2)</t>
    </r>
  </si>
  <si>
    <t>C O M P O S I Ç Ã O   C O R P O R A L - M e t a   E t a p a</t>
  </si>
  <si>
    <r>
      <rPr>
        <b/>
        <sz val="10"/>
        <color theme="1"/>
        <rFont val="Arial"/>
      </rPr>
      <t>Gordura Absoluta</t>
    </r>
    <r>
      <rPr>
        <sz val="8"/>
        <color theme="1"/>
        <rFont val="Arial"/>
      </rPr>
      <t>(kg)</t>
    </r>
  </si>
  <si>
    <r>
      <rPr>
        <b/>
        <sz val="10"/>
        <color theme="1"/>
        <rFont val="Arial"/>
      </rPr>
      <t>Massa Magra</t>
    </r>
    <r>
      <rPr>
        <sz val="8"/>
        <color theme="1"/>
        <rFont val="Arial"/>
      </rPr>
      <t>(kg)</t>
    </r>
  </si>
  <si>
    <r>
      <rPr>
        <b/>
        <sz val="10"/>
        <color theme="1"/>
        <rFont val="Arial"/>
      </rPr>
      <t xml:space="preserve">Nível de Gordura Visceral
</t>
    </r>
    <r>
      <rPr>
        <sz val="8"/>
        <color theme="1"/>
        <rFont val="Arial"/>
      </rPr>
      <t>(ua; bioimpedância)</t>
    </r>
  </si>
  <si>
    <r>
      <rPr>
        <b/>
        <sz val="10"/>
        <color theme="1"/>
        <rFont val="Arial"/>
      </rPr>
      <t xml:space="preserve">Peso Corporal Total </t>
    </r>
    <r>
      <rPr>
        <sz val="8"/>
        <color theme="1"/>
        <rFont val="Arial"/>
      </rPr>
      <t>(kg)</t>
    </r>
  </si>
  <si>
    <r>
      <rPr>
        <b/>
        <sz val="10"/>
        <color theme="1"/>
        <rFont val="Arial"/>
      </rPr>
      <t xml:space="preserve">Variação máxima de peso saudável </t>
    </r>
    <r>
      <rPr>
        <sz val="8"/>
        <color theme="1"/>
        <rFont val="Arial"/>
      </rPr>
      <t>(kg)</t>
    </r>
  </si>
  <si>
    <t>C O M P O S I Ç Ã O   C O R P O R A L   S E G M E N T A D A</t>
  </si>
  <si>
    <r>
      <rPr>
        <b/>
        <sz val="10"/>
        <color theme="1"/>
        <rFont val="Arial"/>
      </rPr>
      <t xml:space="preserve">Variável
</t>
    </r>
    <r>
      <rPr>
        <sz val="8"/>
        <color theme="1"/>
        <rFont val="Arial"/>
      </rPr>
      <t>(kg)</t>
    </r>
  </si>
  <si>
    <r>
      <rPr>
        <b/>
        <sz val="10"/>
        <color theme="1"/>
        <rFont val="Arial"/>
      </rPr>
      <t xml:space="preserve">Variável
</t>
    </r>
    <r>
      <rPr>
        <sz val="8"/>
        <color theme="1"/>
        <rFont val="Arial"/>
      </rPr>
      <t>(kg)</t>
    </r>
  </si>
  <si>
    <t>E S P E S S U R A   D E   T E C I D O   M U S C U L A R   P O R   U L T R A S S O M</t>
  </si>
  <si>
    <r>
      <rPr>
        <b/>
        <sz val="10"/>
        <color theme="1"/>
        <rFont val="Arial"/>
      </rPr>
      <t xml:space="preserve">Tecido Muscular </t>
    </r>
    <r>
      <rPr>
        <sz val="8"/>
        <color theme="1"/>
        <rFont val="Arial"/>
      </rPr>
      <t>(mm)</t>
    </r>
  </si>
  <si>
    <t>Anteriores do Braço</t>
  </si>
  <si>
    <t>Posteriores do Braço</t>
  </si>
  <si>
    <t>Reto Femoral</t>
  </si>
  <si>
    <t>Vasto Intermédio</t>
  </si>
  <si>
    <t>Anteriores da Coxa</t>
  </si>
  <si>
    <t>E S P E S S U R A   D E   T E C I D O   A D I P O S O   P O R   U L T R A S S O M</t>
  </si>
  <si>
    <r>
      <rPr>
        <b/>
        <sz val="10"/>
        <color theme="1"/>
        <rFont val="Arial"/>
      </rPr>
      <t xml:space="preserve">Tecido Adiposo </t>
    </r>
    <r>
      <rPr>
        <sz val="8"/>
        <color theme="1"/>
        <rFont val="Arial"/>
      </rPr>
      <t>(mm)</t>
    </r>
  </si>
  <si>
    <t>Abdominal Superficial</t>
  </si>
  <si>
    <t>Abdominal Profundo</t>
  </si>
  <si>
    <t>Abdominal Supra Muscular Total</t>
  </si>
  <si>
    <t>Compartimento Anterior do Braço</t>
  </si>
  <si>
    <t>Compartimento Posterior do Braço</t>
  </si>
  <si>
    <t>Compartimento Anterior da Coxa</t>
  </si>
  <si>
    <t>E S P E S S U R A   D E   T E C I D O   P O R   U L T R A S S O M</t>
  </si>
  <si>
    <t>Compartimento</t>
  </si>
  <si>
    <t>Anterior da Coxa</t>
  </si>
  <si>
    <t>Posterior do Braço (Tríceps)</t>
  </si>
  <si>
    <t>Anterior do Braço (Bíceps)</t>
  </si>
  <si>
    <t>R E L A Ç Ã O   A B D O M E - Q U A D R I L</t>
  </si>
  <si>
    <t>Í N D I C E S   N E U R O M U S C U L A R E S - R M L   E   F L E X I B I L I D A D E</t>
  </si>
  <si>
    <t>Índice Neuromuscular</t>
  </si>
  <si>
    <t>Í N D I C E S   N E U R O M U S C U L A R E S - 1 RM</t>
  </si>
  <si>
    <t>Teste de 1RM</t>
  </si>
  <si>
    <r>
      <rPr>
        <b/>
        <sz val="10"/>
        <color theme="1"/>
        <rFont val="Arial"/>
      </rPr>
      <t>Supino Carga</t>
    </r>
    <r>
      <rPr>
        <sz val="8"/>
        <color theme="1"/>
        <rFont val="Arial"/>
      </rPr>
      <t>(kg)</t>
    </r>
  </si>
  <si>
    <r>
      <rPr>
        <b/>
        <sz val="10"/>
        <color theme="1"/>
        <rFont val="Arial"/>
      </rPr>
      <t>1RM - Supino</t>
    </r>
    <r>
      <rPr>
        <sz val="8"/>
        <color theme="1"/>
        <rFont val="Arial"/>
      </rPr>
      <t>(kg)</t>
    </r>
  </si>
  <si>
    <r>
      <rPr>
        <b/>
        <sz val="10"/>
        <color theme="1"/>
        <rFont val="Arial"/>
      </rPr>
      <t>1RM - Supino</t>
    </r>
    <r>
      <rPr>
        <sz val="8"/>
        <color theme="1"/>
        <rFont val="Arial"/>
      </rPr>
      <t>(%)</t>
    </r>
  </si>
  <si>
    <r>
      <rPr>
        <b/>
        <sz val="10"/>
        <color theme="1"/>
        <rFont val="Arial"/>
      </rPr>
      <t>Leg Press Carga</t>
    </r>
    <r>
      <rPr>
        <sz val="8"/>
        <color theme="1"/>
        <rFont val="Arial"/>
      </rPr>
      <t>(kg)</t>
    </r>
  </si>
  <si>
    <t>Leg Press Reps.</t>
  </si>
  <si>
    <r>
      <rPr>
        <b/>
        <sz val="10"/>
        <color theme="1"/>
        <rFont val="Arial"/>
      </rPr>
      <t>1RM - Leg Press</t>
    </r>
    <r>
      <rPr>
        <sz val="8"/>
        <color theme="1"/>
        <rFont val="Arial"/>
      </rPr>
      <t>(kg)</t>
    </r>
  </si>
  <si>
    <r>
      <rPr>
        <b/>
        <sz val="10"/>
        <color theme="1"/>
        <rFont val="Arial"/>
      </rPr>
      <t>1RM - Leg Press</t>
    </r>
    <r>
      <rPr>
        <sz val="8"/>
        <color theme="1"/>
        <rFont val="Arial"/>
      </rPr>
      <t>(%)</t>
    </r>
  </si>
  <si>
    <t>A V A L I A Ç Ã O   M E T A B Ó L I C A</t>
  </si>
  <si>
    <r>
      <rPr>
        <b/>
        <sz val="10"/>
        <color theme="1"/>
        <rFont val="Arial"/>
      </rPr>
      <t>TESTE DE CONSUMO MÁXIMO DE OXIGÊNIO - VO</t>
    </r>
    <r>
      <rPr>
        <b/>
        <sz val="6"/>
        <color theme="1"/>
        <rFont val="Arial"/>
      </rPr>
      <t>2máx</t>
    </r>
  </si>
  <si>
    <r>
      <rPr>
        <b/>
        <sz val="10"/>
        <color theme="1"/>
        <rFont val="Arial"/>
      </rPr>
      <t>FC Repouso</t>
    </r>
    <r>
      <rPr>
        <sz val="8"/>
        <color theme="1"/>
        <rFont val="Arial"/>
      </rPr>
      <t>(bpm)</t>
    </r>
  </si>
  <si>
    <r>
      <rPr>
        <b/>
        <sz val="10"/>
        <color theme="1"/>
        <rFont val="Arial"/>
      </rPr>
      <t>VO</t>
    </r>
    <r>
      <rPr>
        <b/>
        <sz val="8"/>
        <color theme="1"/>
        <rFont val="Arial"/>
      </rPr>
      <t xml:space="preserve">2máximo </t>
    </r>
    <r>
      <rPr>
        <sz val="8"/>
        <color theme="1"/>
        <rFont val="Arial"/>
      </rPr>
      <t>(ml/kg/min)</t>
    </r>
  </si>
  <si>
    <r>
      <rPr>
        <b/>
        <sz val="10"/>
        <color theme="1"/>
        <rFont val="Arial"/>
      </rPr>
      <t>R. VO</t>
    </r>
    <r>
      <rPr>
        <b/>
        <sz val="8"/>
        <color theme="1"/>
        <rFont val="Arial"/>
      </rPr>
      <t>2máximo</t>
    </r>
  </si>
  <si>
    <r>
      <rPr>
        <b/>
        <sz val="10"/>
        <color theme="1"/>
        <rFont val="Arial"/>
      </rPr>
      <t xml:space="preserve">Limiar Anaeróbico </t>
    </r>
    <r>
      <rPr>
        <sz val="8"/>
        <color theme="1"/>
        <rFont val="Arial"/>
      </rPr>
      <t>(bpm)</t>
    </r>
  </si>
  <si>
    <r>
      <rPr>
        <b/>
        <sz val="10"/>
        <color theme="1"/>
        <rFont val="Arial"/>
      </rPr>
      <t xml:space="preserve">Limiar Anaeróbico </t>
    </r>
    <r>
      <rPr>
        <sz val="8"/>
        <color theme="1"/>
        <rFont val="Arial"/>
      </rPr>
      <t>(km/h ou watt)</t>
    </r>
  </si>
  <si>
    <r>
      <rPr>
        <b/>
        <sz val="10"/>
        <color theme="1"/>
        <rFont val="Arial"/>
      </rPr>
      <t xml:space="preserve">Limiar Anaeróbico </t>
    </r>
    <r>
      <rPr>
        <sz val="8"/>
        <color theme="1"/>
        <rFont val="Arial"/>
      </rPr>
      <t>(pace)</t>
    </r>
  </si>
  <si>
    <r>
      <rPr>
        <b/>
        <sz val="10"/>
        <color theme="1"/>
        <rFont val="Arial"/>
      </rPr>
      <t xml:space="preserve">Velocidade Máxima </t>
    </r>
    <r>
      <rPr>
        <sz val="8"/>
        <color theme="1"/>
        <rFont val="Arial"/>
      </rPr>
      <t>(km/h ou watt)</t>
    </r>
  </si>
  <si>
    <r>
      <rPr>
        <b/>
        <sz val="10"/>
        <color theme="1"/>
        <rFont val="Arial"/>
      </rPr>
      <t xml:space="preserve">FC Máxima Predita </t>
    </r>
    <r>
      <rPr>
        <sz val="8"/>
        <color theme="1"/>
        <rFont val="Arial"/>
      </rPr>
      <t>(bpm)</t>
    </r>
  </si>
  <si>
    <r>
      <rPr>
        <b/>
        <sz val="10"/>
        <color theme="1"/>
        <rFont val="Arial"/>
      </rPr>
      <t xml:space="preserve">FC Máxima no Teste </t>
    </r>
    <r>
      <rPr>
        <sz val="8"/>
        <color theme="1"/>
        <rFont val="Arial"/>
      </rPr>
      <t>(bpm)</t>
    </r>
  </si>
  <si>
    <t>A V A L I A Ç Ã O   M E T A B Ó L I C A - D E T A L H A M E N T O   A T U A L</t>
  </si>
  <si>
    <t>Inclinação</t>
  </si>
  <si>
    <t>Velocidade</t>
  </si>
  <si>
    <t>PAS/PAD</t>
  </si>
  <si>
    <t>Glicemia</t>
  </si>
  <si>
    <t>Obs.</t>
  </si>
  <si>
    <t>(Atual)</t>
  </si>
  <si>
    <t>A V A L I A Ç Ã O   M E T A B Ó L I C A - D A D O S   D E   B A S E</t>
  </si>
  <si>
    <r>
      <rPr>
        <b/>
        <sz val="10"/>
        <color theme="1"/>
        <rFont val="Arial"/>
      </rPr>
      <t>%VO</t>
    </r>
    <r>
      <rPr>
        <b/>
        <sz val="8"/>
        <color theme="1"/>
        <rFont val="Arial"/>
      </rPr>
      <t>2máx</t>
    </r>
  </si>
  <si>
    <r>
      <rPr>
        <b/>
        <sz val="10"/>
        <color theme="1"/>
        <rFont val="Arial"/>
      </rPr>
      <t>FC</t>
    </r>
    <r>
      <rPr>
        <b/>
        <sz val="8"/>
        <color theme="1"/>
        <rFont val="Arial"/>
      </rPr>
      <t>(min)</t>
    </r>
  </si>
  <si>
    <r>
      <rPr>
        <b/>
        <sz val="10"/>
        <color theme="1"/>
        <rFont val="Arial"/>
      </rPr>
      <t>FC</t>
    </r>
    <r>
      <rPr>
        <b/>
        <sz val="8"/>
        <color theme="1"/>
        <rFont val="Arial"/>
      </rPr>
      <t>(15")</t>
    </r>
  </si>
  <si>
    <r>
      <rPr>
        <b/>
        <sz val="10"/>
        <color theme="1"/>
        <rFont val="Arial"/>
      </rPr>
      <t xml:space="preserve">Pace </t>
    </r>
    <r>
      <rPr>
        <b/>
        <sz val="8"/>
        <color theme="1"/>
        <rFont val="Arial"/>
      </rPr>
      <t>(min/km)</t>
    </r>
  </si>
  <si>
    <t>EPE</t>
  </si>
  <si>
    <t>Percepção</t>
  </si>
  <si>
    <t>Leve</t>
  </si>
  <si>
    <t>Moderado</t>
  </si>
  <si>
    <t>Intenso</t>
  </si>
  <si>
    <t>Supramáximo</t>
  </si>
  <si>
    <r>
      <rPr>
        <b/>
        <sz val="10"/>
        <color theme="1"/>
        <rFont val="Arial"/>
      </rPr>
      <t>%VO</t>
    </r>
    <r>
      <rPr>
        <b/>
        <sz val="8"/>
        <color theme="1"/>
        <rFont val="Arial"/>
      </rPr>
      <t>2máx</t>
    </r>
  </si>
  <si>
    <r>
      <rPr>
        <b/>
        <sz val="10"/>
        <color theme="1"/>
        <rFont val="Arial"/>
      </rPr>
      <t>FC</t>
    </r>
    <r>
      <rPr>
        <b/>
        <sz val="8"/>
        <color theme="1"/>
        <rFont val="Arial"/>
      </rPr>
      <t>(min)</t>
    </r>
  </si>
  <si>
    <r>
      <rPr>
        <b/>
        <sz val="10"/>
        <color theme="1"/>
        <rFont val="Arial"/>
      </rPr>
      <t>FC</t>
    </r>
    <r>
      <rPr>
        <b/>
        <sz val="8"/>
        <color theme="1"/>
        <rFont val="Arial"/>
      </rPr>
      <t>(15")</t>
    </r>
  </si>
  <si>
    <r>
      <rPr>
        <b/>
        <sz val="10"/>
        <color theme="1"/>
        <rFont val="Arial"/>
      </rPr>
      <t>Velocidade</t>
    </r>
    <r>
      <rPr>
        <b/>
        <sz val="8"/>
        <color theme="1"/>
        <rFont val="Arial"/>
      </rPr>
      <t>(km/h)</t>
    </r>
  </si>
  <si>
    <r>
      <rPr>
        <b/>
        <sz val="10"/>
        <color theme="1"/>
        <rFont val="Arial"/>
      </rPr>
      <t xml:space="preserve">Pace </t>
    </r>
    <r>
      <rPr>
        <b/>
        <sz val="8"/>
        <color theme="1"/>
        <rFont val="Arial"/>
      </rPr>
      <t>(min/km)</t>
    </r>
  </si>
  <si>
    <r>
      <rPr>
        <b/>
        <sz val="10"/>
        <color theme="1"/>
        <rFont val="Arial"/>
      </rPr>
      <t>Velocidade</t>
    </r>
    <r>
      <rPr>
        <b/>
        <sz val="8"/>
        <color theme="1"/>
        <rFont val="Arial"/>
      </rPr>
      <t>(watt)</t>
    </r>
  </si>
  <si>
    <t>R E S U M O  -  C A P A C I D A D E S   F Í S I C A S</t>
  </si>
  <si>
    <t xml:space="preserve">Texto </t>
  </si>
  <si>
    <t>E S T U D O   C A L Ó R I C O   A T U A L</t>
  </si>
  <si>
    <r>
      <rPr>
        <b/>
        <sz val="10"/>
        <color rgb="FF000000"/>
        <rFont val="Arial, sans-serif"/>
      </rPr>
      <t xml:space="preserve">Taxa Metabólica Basal 
</t>
    </r>
    <r>
      <rPr>
        <sz val="8"/>
        <color rgb="FF000000"/>
        <rFont val="Arial, sans-serif"/>
      </rPr>
      <t>(Haris Benedict; kcal)</t>
    </r>
  </si>
  <si>
    <r>
      <rPr>
        <b/>
        <sz val="10"/>
        <color rgb="FF000000"/>
        <rFont val="Arial, sans-serif"/>
      </rPr>
      <t xml:space="preserve">Taxa Metabólica Média
</t>
    </r>
    <r>
      <rPr>
        <sz val="8"/>
        <color rgb="FF000000"/>
        <rFont val="Arial, sans-serif"/>
      </rPr>
      <t>(kcal)</t>
    </r>
  </si>
  <si>
    <r>
      <rPr>
        <b/>
        <sz val="10"/>
        <color rgb="FF000000"/>
        <rFont val="Arial, sans-serif"/>
      </rPr>
      <t xml:space="preserve">Taxa Metabólica Basal 
</t>
    </r>
    <r>
      <rPr>
        <sz val="8"/>
        <color rgb="FF000000"/>
        <rFont val="Arial, sans-serif"/>
      </rPr>
      <t>(Bioimpedância; kcal)</t>
    </r>
  </si>
  <si>
    <t>A P O R T E   E N E R G É T I C O</t>
  </si>
  <si>
    <t>D I S T R I B U I Ç Ã O   P O R   R E F E I Ç Ã O</t>
  </si>
  <si>
    <t>Horário</t>
  </si>
  <si>
    <t>A V A L I A Ç Ã O   P O S T U R A L</t>
  </si>
  <si>
    <t>Imagem</t>
  </si>
  <si>
    <t>Escore Diagnóstico</t>
  </si>
  <si>
    <t>Região da Cabeça e do Pescoço</t>
  </si>
  <si>
    <t xml:space="preserve">Região da Coluna Dorsal e Lombar </t>
  </si>
  <si>
    <t>Região do Abdômen e Quadril</t>
  </si>
  <si>
    <t xml:space="preserve">Região de Membros Inferiores </t>
  </si>
  <si>
    <t>Abdomen e Quadril</t>
  </si>
  <si>
    <t>Primeira</t>
  </si>
  <si>
    <t>MASCULINO</t>
  </si>
  <si>
    <t>FEMININO</t>
  </si>
  <si>
    <t>PSU - PORTLAND STATE UNIVERSITY</t>
  </si>
  <si>
    <t>FOTO FRONTAL</t>
  </si>
  <si>
    <t>FOTO LATERAL</t>
  </si>
  <si>
    <t>Relação Cintura Quadril</t>
  </si>
  <si>
    <t>Teste Abdominal</t>
  </si>
  <si>
    <t>Baixo</t>
  </si>
  <si>
    <t>Alto</t>
  </si>
  <si>
    <t>Muito Alto</t>
  </si>
  <si>
    <t>20 a 29 anos</t>
  </si>
  <si>
    <t>&lt;0,83</t>
  </si>
  <si>
    <t>0,83-0,88</t>
  </si>
  <si>
    <t>0,89-0,94</t>
  </si>
  <si>
    <t>&gt;0,94</t>
  </si>
  <si>
    <t>&lt;0,71</t>
  </si>
  <si>
    <t>0,71-0,77</t>
  </si>
  <si>
    <t>0,76-0,83</t>
  </si>
  <si>
    <t>&gt;0,82</t>
  </si>
  <si>
    <t>30 a 39 anos</t>
  </si>
  <si>
    <t>&lt;0,84</t>
  </si>
  <si>
    <t>0,84-0,91</t>
  </si>
  <si>
    <t>0,92-0,96</t>
  </si>
  <si>
    <t>&gt;0,96</t>
  </si>
  <si>
    <t>&lt;0,72</t>
  </si>
  <si>
    <t>0,72-0,78</t>
  </si>
  <si>
    <t>0,79-0,84</t>
  </si>
  <si>
    <t>&gt;0,84</t>
  </si>
  <si>
    <t>40 a 49 anos</t>
  </si>
  <si>
    <t>&lt;0,88</t>
  </si>
  <si>
    <t>0,88-0,95</t>
  </si>
  <si>
    <t>0,93-1,00</t>
  </si>
  <si>
    <t>&gt;1,00</t>
  </si>
  <si>
    <t>&lt;0,73</t>
  </si>
  <si>
    <t>0,73-0,79</t>
  </si>
  <si>
    <t>0,80-0,87</t>
  </si>
  <si>
    <t>&gt;0,87</t>
  </si>
  <si>
    <t>50 a 59 anos</t>
  </si>
  <si>
    <t>&lt;0,90</t>
  </si>
  <si>
    <t>0,90-0,96</t>
  </si>
  <si>
    <t>0,97-1,02</t>
  </si>
  <si>
    <t>&gt;1,02</t>
  </si>
  <si>
    <t>&lt;0,74</t>
  </si>
  <si>
    <t>0,74-0,81</t>
  </si>
  <si>
    <t>0,82-0,88</t>
  </si>
  <si>
    <t>&gt;0,88</t>
  </si>
  <si>
    <t>Acima de 60 anos</t>
  </si>
  <si>
    <t>&lt;0,91</t>
  </si>
  <si>
    <t>0,91-0,98</t>
  </si>
  <si>
    <t>0,99-1,03</t>
  </si>
  <si>
    <t>&gt;1,03</t>
  </si>
  <si>
    <t>&lt;0,76</t>
  </si>
  <si>
    <t>0,84-0,90</t>
  </si>
  <si>
    <t>&gt;0,9</t>
  </si>
  <si>
    <t>Applied Body Composition Assessment, 1996.</t>
  </si>
  <si>
    <t>RML ABDOMINAL</t>
  </si>
  <si>
    <t>Ruim</t>
  </si>
  <si>
    <t>Abaixo da Média</t>
  </si>
  <si>
    <t>Bom</t>
  </si>
  <si>
    <t>Acima da Média</t>
  </si>
  <si>
    <t>Excelente</t>
  </si>
  <si>
    <t>15 a 19 anos</t>
  </si>
  <si>
    <t>≤32</t>
  </si>
  <si>
    <t>33-37</t>
  </si>
  <si>
    <t>38-41</t>
  </si>
  <si>
    <t>42-47</t>
  </si>
  <si>
    <t>≥48</t>
  </si>
  <si>
    <t>≤26</t>
  </si>
  <si>
    <t>27-31</t>
  </si>
  <si>
    <t>32-35</t>
  </si>
  <si>
    <t>36-41</t>
  </si>
  <si>
    <t>≥42</t>
  </si>
  <si>
    <t>≤28</t>
  </si>
  <si>
    <t>29-32</t>
  </si>
  <si>
    <t>33-36</t>
  </si>
  <si>
    <t>37-42</t>
  </si>
  <si>
    <t>≥43</t>
  </si>
  <si>
    <t>≤20</t>
  </si>
  <si>
    <t>21-24</t>
  </si>
  <si>
    <t>25-30</t>
  </si>
  <si>
    <t>31-35</t>
  </si>
  <si>
    <t>≥36</t>
  </si>
  <si>
    <t>≤21</t>
  </si>
  <si>
    <t>22-26</t>
  </si>
  <si>
    <t>27-30</t>
  </si>
  <si>
    <t>≤14</t>
  </si>
  <si>
    <t>15-19</t>
  </si>
  <si>
    <t>20-23</t>
  </si>
  <si>
    <t>24-28</t>
  </si>
  <si>
    <t>≥29</t>
  </si>
  <si>
    <t>≤16</t>
  </si>
  <si>
    <t>17-21</t>
  </si>
  <si>
    <t>22-25</t>
  </si>
  <si>
    <t>26-30</t>
  </si>
  <si>
    <t>≥31</t>
  </si>
  <si>
    <t>≤6</t>
  </si>
  <si>
    <t>7-14</t>
  </si>
  <si>
    <t>20-24</t>
  </si>
  <si>
    <t>≥25</t>
  </si>
  <si>
    <t>≤12</t>
  </si>
  <si>
    <t>13-17</t>
  </si>
  <si>
    <t>18-21</t>
  </si>
  <si>
    <t>≥26</t>
  </si>
  <si>
    <t>≤2</t>
  </si>
  <si>
    <t>12-18</t>
  </si>
  <si>
    <t>≥19</t>
  </si>
  <si>
    <t>12-16</t>
  </si>
  <si>
    <t>17-22</t>
  </si>
  <si>
    <t>≥23</t>
  </si>
  <si>
    <t>≤1</t>
  </si>
  <si>
    <t>12-15</t>
  </si>
  <si>
    <t>≥16</t>
  </si>
  <si>
    <t>Pollock, M. L. &amp; Wilmore, J. H., 1993</t>
  </si>
  <si>
    <t>RML M.SUPERIORES</t>
  </si>
  <si>
    <t>Teste de Flexão de Braços</t>
  </si>
  <si>
    <t>Teste Flexão de Braços</t>
  </si>
  <si>
    <t>≤17</t>
  </si>
  <si>
    <t>18-22</t>
  </si>
  <si>
    <t>23-28</t>
  </si>
  <si>
    <t>29-38</t>
  </si>
  <si>
    <t>≥39</t>
  </si>
  <si>
    <t>≤11</t>
  </si>
  <si>
    <t>12-17</t>
  </si>
  <si>
    <t>18-24</t>
  </si>
  <si>
    <t>25-32</t>
  </si>
  <si>
    <t>≥33</t>
  </si>
  <si>
    <t>22-28</t>
  </si>
  <si>
    <t>29-35</t>
  </si>
  <si>
    <t>≥35</t>
  </si>
  <si>
    <t>≤9</t>
  </si>
  <si>
    <t>10-14</t>
  </si>
  <si>
    <t>15-20</t>
  </si>
  <si>
    <t>21-29</t>
  </si>
  <si>
    <t>≥30</t>
  </si>
  <si>
    <t>22-29</t>
  </si>
  <si>
    <t>≤7</t>
  </si>
  <si>
    <t>13-19</t>
  </si>
  <si>
    <t>20-26</t>
  </si>
  <si>
    <t>≥27</t>
  </si>
  <si>
    <t>13-16</t>
  </si>
  <si>
    <t>17-24</t>
  </si>
  <si>
    <t>≤4</t>
  </si>
  <si>
    <t>11-14</t>
  </si>
  <si>
    <t>15-23</t>
  </si>
  <si>
    <t>≥24</t>
  </si>
  <si>
    <t>13-20</t>
  </si>
  <si>
    <t>≥21</t>
  </si>
  <si>
    <t>11-20</t>
  </si>
  <si>
    <t>11-17</t>
  </si>
  <si>
    <t>≥18</t>
  </si>
  <si>
    <t>≥17</t>
  </si>
  <si>
    <t>Força Muscular Supino - 1 RM</t>
  </si>
  <si>
    <t>Fraca</t>
  </si>
  <si>
    <t>Média</t>
  </si>
  <si>
    <t>Boa</t>
  </si>
  <si>
    <t>Superior</t>
  </si>
  <si>
    <t>Até 20 anos</t>
  </si>
  <si>
    <t>≤0,89</t>
  </si>
  <si>
    <t>0,90-1,06</t>
  </si>
  <si>
    <t>1,07-1,19</t>
  </si>
  <si>
    <t>1,20-1,33</t>
  </si>
  <si>
    <t>≥1,34</t>
  </si>
  <si>
    <t>≤0,53</t>
  </si>
  <si>
    <t>0,54-0,58</t>
  </si>
  <si>
    <t>0,59-0,65</t>
  </si>
  <si>
    <t>0,66-0,77</t>
  </si>
  <si>
    <t>≥0,78</t>
  </si>
  <si>
    <t>≤0,88</t>
  </si>
  <si>
    <t>0,89-0,99</t>
  </si>
  <si>
    <t>1,00-1,14</t>
  </si>
  <si>
    <t>1,15-1,31</t>
  </si>
  <si>
    <t>≥1,32</t>
  </si>
  <si>
    <t>≤0,51</t>
  </si>
  <si>
    <t>0,52-0,59</t>
  </si>
  <si>
    <t>0,60-0,70</t>
  </si>
  <si>
    <t>0,71-0,80</t>
  </si>
  <si>
    <t>≥0,81</t>
  </si>
  <si>
    <t>≤0,78</t>
  </si>
  <si>
    <t>0,79-0,88</t>
  </si>
  <si>
    <t>0,89-0,98</t>
  </si>
  <si>
    <t>0,99-1,11</t>
  </si>
  <si>
    <t>≥1,12</t>
  </si>
  <si>
    <t>≤0,47</t>
  </si>
  <si>
    <t>0,48-0,53</t>
  </si>
  <si>
    <t>0,54-0,60</t>
  </si>
  <si>
    <t>0,61-0,70</t>
  </si>
  <si>
    <t>≥0,71</t>
  </si>
  <si>
    <t>≤0,72</t>
  </si>
  <si>
    <t>0,73-0,80</t>
  </si>
  <si>
    <t>0,81-0,88</t>
  </si>
  <si>
    <t>≥1,00</t>
  </si>
  <si>
    <t>≤0,43</t>
  </si>
  <si>
    <t>0,44-0,50</t>
  </si>
  <si>
    <t>0,51-0,54</t>
  </si>
  <si>
    <t>0,55-0,62</t>
  </si>
  <si>
    <t>≥0,63</t>
  </si>
  <si>
    <t>≤0,63</t>
  </si>
  <si>
    <t>0,64-0,71</t>
  </si>
  <si>
    <t>0,72-0,79</t>
  </si>
  <si>
    <t>0,80-0,89</t>
  </si>
  <si>
    <t>≥0,90</t>
  </si>
  <si>
    <t>≤0,39</t>
  </si>
  <si>
    <t>0,40-0,43</t>
  </si>
  <si>
    <t>0,44-0,48</t>
  </si>
  <si>
    <t>0,49-0,55</t>
  </si>
  <si>
    <t>≥0,56</t>
  </si>
  <si>
    <t>≤0,57</t>
  </si>
  <si>
    <t>0,58-0,66</t>
  </si>
  <si>
    <t>0,67-0,71</t>
  </si>
  <si>
    <t>0,72-0,81</t>
  </si>
  <si>
    <t>≥0,82</t>
  </si>
  <si>
    <t>≤0,38</t>
  </si>
  <si>
    <t>0,39-0,42</t>
  </si>
  <si>
    <t>0,43-0,47</t>
  </si>
  <si>
    <t>0,48-0,54</t>
  </si>
  <si>
    <t>≥0,55</t>
  </si>
  <si>
    <t>Adaptado de Heyward, 1991</t>
  </si>
  <si>
    <t>Força Muscular Leg Press - 1 RM</t>
  </si>
  <si>
    <t>≤1,70</t>
  </si>
  <si>
    <t>1,71-1,90</t>
  </si>
  <si>
    <t>1,91-2,04</t>
  </si>
  <si>
    <t>2,05-2,27</t>
  </si>
  <si>
    <t>≥2,28</t>
  </si>
  <si>
    <t>≤1,22</t>
  </si>
  <si>
    <t>1,23-1,38</t>
  </si>
  <si>
    <t>1,39-1,59</t>
  </si>
  <si>
    <t>1,60-1,70</t>
  </si>
  <si>
    <t>≥1,71</t>
  </si>
  <si>
    <t>≤1,63</t>
  </si>
  <si>
    <t>1,64-1,83</t>
  </si>
  <si>
    <t>1,84-1,97</t>
  </si>
  <si>
    <t>1,98-2,12</t>
  </si>
  <si>
    <t>≥2,13</t>
  </si>
  <si>
    <t>1,23-1,37</t>
  </si>
  <si>
    <t>1,38-1,50</t>
  </si>
  <si>
    <t>1,51-1,67</t>
  </si>
  <si>
    <t>≥1,68</t>
  </si>
  <si>
    <t>≤1,52</t>
  </si>
  <si>
    <t>1,53-1,65</t>
  </si>
  <si>
    <t>1,66-1,77</t>
  </si>
  <si>
    <t>1,78-1,92</t>
  </si>
  <si>
    <t>≥1,93</t>
  </si>
  <si>
    <t>≤1,09</t>
  </si>
  <si>
    <t>1,10-1,21</t>
  </si>
  <si>
    <t>1,22-1,33</t>
  </si>
  <si>
    <t>1,34-1,46</t>
  </si>
  <si>
    <t>≥1,47</t>
  </si>
  <si>
    <t>≤1,44</t>
  </si>
  <si>
    <t>1,45-1,57</t>
  </si>
  <si>
    <t>1,58-1,68</t>
  </si>
  <si>
    <t>1,69-1,81</t>
  </si>
  <si>
    <t>≥1,82</t>
  </si>
  <si>
    <t>≤1,02</t>
  </si>
  <si>
    <t>1,03-1,13</t>
  </si>
  <si>
    <t>1,14-1,23</t>
  </si>
  <si>
    <t>1,24-1,36</t>
  </si>
  <si>
    <t>≥1,37</t>
  </si>
  <si>
    <t>≤1,32</t>
  </si>
  <si>
    <t>1,33-1,46</t>
  </si>
  <si>
    <t>1,47-1,58</t>
  </si>
  <si>
    <t>1,59-1,70</t>
  </si>
  <si>
    <t>1,00-1,10</t>
  </si>
  <si>
    <t>1,11-1,24</t>
  </si>
  <si>
    <t>≥1,25</t>
  </si>
  <si>
    <t>≤1,25</t>
  </si>
  <si>
    <t>1,26-1,38</t>
  </si>
  <si>
    <t>1,39-1,49</t>
  </si>
  <si>
    <t>1,50-1,61</t>
  </si>
  <si>
    <t>≥1,62</t>
  </si>
  <si>
    <t>≤0,85</t>
  </si>
  <si>
    <t>0,86-0,93</t>
  </si>
  <si>
    <t>0,94-1,04</t>
  </si>
  <si>
    <t>1,05-1,17</t>
  </si>
  <si>
    <t>≥1,18</t>
  </si>
  <si>
    <t>FLEXIBILIDADE</t>
  </si>
  <si>
    <t>Sentar e Alcançar c/ Banco</t>
  </si>
  <si>
    <t>≤23</t>
  </si>
  <si>
    <t>29-33</t>
  </si>
  <si>
    <t>34-38</t>
  </si>
  <si>
    <t>34-37</t>
  </si>
  <si>
    <t>38-42</t>
  </si>
  <si>
    <t>Calcanhares</t>
  </si>
  <si>
    <t>≤24</t>
  </si>
  <si>
    <t>25-29</t>
  </si>
  <si>
    <t>30-33</t>
  </si>
  <si>
    <t>34-39</t>
  </si>
  <si>
    <t>≥40</t>
  </si>
  <si>
    <t>≤27</t>
  </si>
  <si>
    <t>28-32</t>
  </si>
  <si>
    <t>37-40</t>
  </si>
  <si>
    <t>≥41</t>
  </si>
  <si>
    <t>≤22</t>
  </si>
  <si>
    <t>23-27</t>
  </si>
  <si>
    <t>≥38</t>
  </si>
  <si>
    <t>36-40</t>
  </si>
  <si>
    <t>18-23</t>
  </si>
  <si>
    <t>29-34</t>
  </si>
  <si>
    <t>≤15</t>
  </si>
  <si>
    <t>16-23</t>
  </si>
  <si>
    <t>24-27</t>
  </si>
  <si>
    <t>28-34</t>
  </si>
  <si>
    <t>30-32</t>
  </si>
  <si>
    <t>33-38</t>
  </si>
  <si>
    <t>23-26</t>
  </si>
  <si>
    <t>31-34</t>
  </si>
  <si>
    <t>Canadian Standardized Teste of Fitness (CSTF)</t>
  </si>
  <si>
    <t>CONSUMO MÁXIMO DE OXIGÊNIO</t>
  </si>
  <si>
    <t>Ventilometria Direta</t>
  </si>
  <si>
    <t>Muito Fraca &lt;50%</t>
  </si>
  <si>
    <t>Fraca
50-80%</t>
  </si>
  <si>
    <t>Regular
80-95%</t>
  </si>
  <si>
    <t>Boa
95-105%</t>
  </si>
  <si>
    <t>Excelente
&gt;105%</t>
  </si>
  <si>
    <t>15 a 24 anos</t>
  </si>
  <si>
    <t>&lt;25,3</t>
  </si>
  <si>
    <t>25,30-40,48</t>
  </si>
  <si>
    <t>40,49-48,07</t>
  </si>
  <si>
    <t>48,08-53,13</t>
  </si>
  <si>
    <t>&gt;53,13</t>
  </si>
  <si>
    <t>&lt;19,45</t>
  </si>
  <si>
    <t>19,45-31,12</t>
  </si>
  <si>
    <t>31,13-36,95</t>
  </si>
  <si>
    <t>36,96-40,85</t>
  </si>
  <si>
    <t>&gt;40,85</t>
  </si>
  <si>
    <t>Pés</t>
  </si>
  <si>
    <t>25 a 34 anos</t>
  </si>
  <si>
    <t>&lt;23,7</t>
  </si>
  <si>
    <t>23,70-37,92</t>
  </si>
  <si>
    <t>37,93-45,03</t>
  </si>
  <si>
    <t>45,04-49,77</t>
  </si>
  <si>
    <t>&gt;49,77</t>
  </si>
  <si>
    <t>&lt;19,05</t>
  </si>
  <si>
    <t>19,05-30,48</t>
  </si>
  <si>
    <t>30,49-36,19</t>
  </si>
  <si>
    <t>30,50-40,01</t>
  </si>
  <si>
    <t>&gt;40,01</t>
  </si>
  <si>
    <t>35 a 44 anos</t>
  </si>
  <si>
    <t>&lt;22,7</t>
  </si>
  <si>
    <t>22,70-36,32</t>
  </si>
  <si>
    <t>36,33-43,13</t>
  </si>
  <si>
    <t>43,14-47,67</t>
  </si>
  <si>
    <t>&gt;47,67</t>
  </si>
  <si>
    <t>&lt;17,45</t>
  </si>
  <si>
    <t>17,45-27,92</t>
  </si>
  <si>
    <t>27,93-33,15</t>
  </si>
  <si>
    <t>33,16-34,09</t>
  </si>
  <si>
    <t>&gt;34,09</t>
  </si>
  <si>
    <t>45 a 54 anos</t>
  </si>
  <si>
    <t>&lt;20,25</t>
  </si>
  <si>
    <t>20,25-32,40</t>
  </si>
  <si>
    <t>32,41-38,47</t>
  </si>
  <si>
    <t>38,48-42,52</t>
  </si>
  <si>
    <t>&gt;42,52</t>
  </si>
  <si>
    <t>&lt;15,55</t>
  </si>
  <si>
    <t>15,55-24,88</t>
  </si>
  <si>
    <t>24,89-29,54</t>
  </si>
  <si>
    <t>29,55-32,66</t>
  </si>
  <si>
    <t>&gt;32,66</t>
  </si>
  <si>
    <t>55 a 64 anos</t>
  </si>
  <si>
    <t>&lt;17,65</t>
  </si>
  <si>
    <t>17,65-28,24</t>
  </si>
  <si>
    <t>28,25-33,53</t>
  </si>
  <si>
    <t>33,54-37,06</t>
  </si>
  <si>
    <t>&gt;37,06</t>
  </si>
  <si>
    <t>&lt;14,30</t>
  </si>
  <si>
    <t>14,30-22,88</t>
  </si>
  <si>
    <t>22,89-27,17</t>
  </si>
  <si>
    <t>27,18-30,04</t>
  </si>
  <si>
    <t>&gt;30,04</t>
  </si>
  <si>
    <t>Acima de 65 anos</t>
  </si>
  <si>
    <t>&lt;15</t>
  </si>
  <si>
    <t>15,00-24,00</t>
  </si>
  <si>
    <t>24,01-28,50</t>
  </si>
  <si>
    <t>28,51-31,50</t>
  </si>
  <si>
    <t>&gt;31,50</t>
  </si>
  <si>
    <t>&lt;12,55</t>
  </si>
  <si>
    <t>12,55-20,08</t>
  </si>
  <si>
    <t>20,09-23,84</t>
  </si>
  <si>
    <t>23,85-26,36</t>
  </si>
  <si>
    <t>&gt;26,36</t>
  </si>
  <si>
    <t>Herdy, A. H. &amp; Caixeta, A., 2016</t>
  </si>
  <si>
    <t>COMPOSIÇÃO CORPORAL</t>
  </si>
  <si>
    <t>PERCENTUAL (%)</t>
  </si>
  <si>
    <t>Excelente
80-100%</t>
  </si>
  <si>
    <t>Bom
60-79%</t>
  </si>
  <si>
    <t>Razoável
40-59%</t>
  </si>
  <si>
    <t>Ruim
20-39%</t>
  </si>
  <si>
    <t>Muito Ruim
0-19%</t>
  </si>
  <si>
    <t>≤10,5</t>
  </si>
  <si>
    <t>10,6-14,8</t>
  </si>
  <si>
    <t>14,9-18,6</t>
  </si>
  <si>
    <t>18,7-23,3</t>
  </si>
  <si>
    <t>&gt;23,3</t>
  </si>
  <si>
    <t>≤16,1</t>
  </si>
  <si>
    <t>16,2-19,8</t>
  </si>
  <si>
    <t>19,9-23,4</t>
  </si>
  <si>
    <t>23,5-28,2</t>
  </si>
  <si>
    <t>&gt;28,2</t>
  </si>
  <si>
    <t>≤14,9</t>
  </si>
  <si>
    <t>15,0-18,4</t>
  </si>
  <si>
    <t>18,5-21,6</t>
  </si>
  <si>
    <t>21,7-25,1</t>
  </si>
  <si>
    <t>&gt;25,1</t>
  </si>
  <si>
    <t>≤16,5</t>
  </si>
  <si>
    <t>16,6-21,0</t>
  </si>
  <si>
    <t>21,1-24,8</t>
  </si>
  <si>
    <t>24,9-29,6</t>
  </si>
  <si>
    <t>&gt;29,6</t>
  </si>
  <si>
    <t>≤17,5</t>
  </si>
  <si>
    <t>17,6-20,8</t>
  </si>
  <si>
    <t>20,9-23,5</t>
  </si>
  <si>
    <t>23,6-26,6</t>
  </si>
  <si>
    <t>&gt;26,6</t>
  </si>
  <si>
    <t>≤18,3</t>
  </si>
  <si>
    <t>18,4-23,7</t>
  </si>
  <si>
    <t>23,8-27,5</t>
  </si>
  <si>
    <t>27,6-31,9</t>
  </si>
  <si>
    <t>&gt;31,9</t>
  </si>
  <si>
    <t>≤19,4</t>
  </si>
  <si>
    <t>19,5-22,3</t>
  </si>
  <si>
    <t>22,4-24,9</t>
  </si>
  <si>
    <t>25,0-28,1</t>
  </si>
  <si>
    <t>&gt;28,1</t>
  </si>
  <si>
    <t>≤20,8</t>
  </si>
  <si>
    <t>20,9-26,7</t>
  </si>
  <si>
    <t>26,8-30,1</t>
  </si>
  <si>
    <t>30,2-33,9</t>
  </si>
  <si>
    <t>&gt;33,9</t>
  </si>
  <si>
    <t>60 a 69 anos</t>
  </si>
  <si>
    <t>≤20,2</t>
  </si>
  <si>
    <t>20,3-23,0</t>
  </si>
  <si>
    <t>23,1-25,6</t>
  </si>
  <si>
    <t>25,7-28,8</t>
  </si>
  <si>
    <t>&gt;28,8</t>
  </si>
  <si>
    <t>≤22,0</t>
  </si>
  <si>
    <t>22,1-27,5</t>
  </si>
  <si>
    <t>27,6-30,8</t>
  </si>
  <si>
    <t>30,9-34,4</t>
  </si>
  <si>
    <t>&gt;34,4</t>
  </si>
  <si>
    <t>70 a 79 anos</t>
  </si>
  <si>
    <t>≤20,1</t>
  </si>
  <si>
    <t>20,2-22,9</t>
  </si>
  <si>
    <t>23,0-25,3</t>
  </si>
  <si>
    <t>25,4-28,4</t>
  </si>
  <si>
    <t>&gt;28,4</t>
  </si>
  <si>
    <t>≤21,2</t>
  </si>
  <si>
    <t>21,3-26,6</t>
  </si>
  <si>
    <t>26,7-30,5</t>
  </si>
  <si>
    <t>30,6-34,0</t>
  </si>
  <si>
    <t>&gt;34,0</t>
  </si>
  <si>
    <t>Cooper Institute, 2009</t>
  </si>
  <si>
    <t>Páginas</t>
  </si>
  <si>
    <t>&lt;- Copie e cole nas configurações na seleção de páginas de impreessão</t>
  </si>
  <si>
    <t>✔️</t>
  </si>
  <si>
    <t>Capa</t>
  </si>
  <si>
    <t>Introdução</t>
  </si>
  <si>
    <t>Identificação/Antropometria</t>
  </si>
  <si>
    <t>Composição corporal</t>
  </si>
  <si>
    <t>Composição corporal - Meta Etapa</t>
  </si>
  <si>
    <t>Composição corporal - Segmentada</t>
  </si>
  <si>
    <t>7-8</t>
  </si>
  <si>
    <t>Ultrassom - Imagens</t>
  </si>
  <si>
    <t>RCQ</t>
  </si>
  <si>
    <t>Índices Neuromusculares RML e Flexibilidade</t>
  </si>
  <si>
    <t>Índices Neuromusculares - 1RM</t>
  </si>
  <si>
    <t>13-14</t>
  </si>
  <si>
    <t>Avaliação Metabólica</t>
  </si>
  <si>
    <t>Dados de Base</t>
  </si>
  <si>
    <t>Resumo das Capacidades Físicas</t>
  </si>
  <si>
    <t>Estudo Calorimétrico</t>
  </si>
  <si>
    <t>Aporte Energético</t>
  </si>
  <si>
    <t>Distribuição por Refeição</t>
  </si>
  <si>
    <t>20-21</t>
  </si>
  <si>
    <t>Para configurar Manualmente, copie o trecho e cole no local correspondente</t>
  </si>
  <si>
    <t>Fórmula Cabeçalho, número da av - Primeiro e Últimos 3</t>
  </si>
  <si>
    <r>
      <rPr>
        <b/>
        <sz val="10"/>
        <color theme="1"/>
        <rFont val="Arial"/>
      </rPr>
      <t xml:space="preserve">Variável
</t>
    </r>
    <r>
      <rPr>
        <sz val="8"/>
        <color theme="1"/>
        <rFont val="Arial"/>
      </rPr>
      <t>(cm)</t>
    </r>
  </si>
  <si>
    <t>Fórmula Cabeçalho, número da av - Segue padrão da Primeira Tabela</t>
  </si>
  <si>
    <t>Fórmula Cabeçalho da img ultrassom, número da av  - Segue padrão da Primeira Tabela</t>
  </si>
  <si>
    <t>Peso</t>
  </si>
  <si>
    <t>%G</t>
  </si>
  <si>
    <t>MM</t>
  </si>
  <si>
    <t>G.A</t>
  </si>
  <si>
    <t>VO2Máx (ml)</t>
  </si>
  <si>
    <t>FC Rep</t>
  </si>
  <si>
    <t>Lan Km/h</t>
  </si>
  <si>
    <t>Lan Pace</t>
  </si>
  <si>
    <t>VO2Máx (MET)</t>
  </si>
  <si>
    <t>FC Máx</t>
  </si>
  <si>
    <t>LAn FC</t>
  </si>
  <si>
    <t>TMB/dia</t>
  </si>
  <si>
    <t>% VO2Máx</t>
  </si>
  <si>
    <t>FC
 (min)</t>
  </si>
  <si>
    <t>FC
 (15”)</t>
  </si>
  <si>
    <t>Vel (km/h)</t>
  </si>
  <si>
    <t>Pace (min/km)</t>
  </si>
  <si>
    <t>1</t>
  </si>
  <si>
    <t>2</t>
  </si>
  <si>
    <t>2-3</t>
  </si>
  <si>
    <t>3</t>
  </si>
  <si>
    <t>3-4</t>
  </si>
  <si>
    <t>4</t>
  </si>
  <si>
    <t>5</t>
  </si>
  <si>
    <t>6</t>
  </si>
  <si>
    <t>9</t>
  </si>
  <si>
    <t>10</t>
  </si>
  <si>
    <t>R. Relação Abdome - Quadril</t>
  </si>
  <si>
    <t>Idade Corresp 0 30 40 50 60</t>
  </si>
  <si>
    <t>R. RML Abdominal</t>
  </si>
  <si>
    <t>Idade Corresp 0 20 30 40 50 60</t>
  </si>
  <si>
    <t>Massa magra atual</t>
  </si>
  <si>
    <t>Gordura atual</t>
  </si>
  <si>
    <t>Meta Massa magra</t>
  </si>
  <si>
    <t>Meta Gordura</t>
  </si>
  <si>
    <t>Supino relativo</t>
  </si>
  <si>
    <t>R. Supino</t>
  </si>
  <si>
    <t>Leg Press relativo</t>
  </si>
  <si>
    <t>R. Leg Press</t>
  </si>
  <si>
    <t>Vo2Max</t>
  </si>
  <si>
    <t>R Vo2Max</t>
  </si>
  <si>
    <t>Idade Corresp 0 24 34 44 54 64</t>
  </si>
  <si>
    <t>Último</t>
  </si>
  <si>
    <t>Corresp</t>
  </si>
  <si>
    <t>Grafico Radar</t>
  </si>
  <si>
    <t>C1</t>
  </si>
  <si>
    <t>C2</t>
  </si>
  <si>
    <t>C3</t>
  </si>
  <si>
    <t>C4</t>
  </si>
  <si>
    <t>C5</t>
  </si>
  <si>
    <t>Atual</t>
  </si>
  <si>
    <t>Resistência Muscular</t>
  </si>
  <si>
    <t>Capacidade Aeróbica</t>
  </si>
  <si>
    <t>Força Muscular Leg</t>
  </si>
  <si>
    <t>Força Muscular Supino</t>
  </si>
  <si>
    <t>X</t>
  </si>
  <si>
    <t>Y</t>
  </si>
  <si>
    <t>Cor</t>
  </si>
  <si>
    <t>Tamanho</t>
  </si>
  <si>
    <t>Necessidade</t>
  </si>
  <si>
    <t>Dias</t>
  </si>
  <si>
    <t>Gordura (kg)</t>
  </si>
  <si>
    <t>constante dias</t>
  </si>
  <si>
    <t>Refeição</t>
  </si>
  <si>
    <t>Kcal</t>
  </si>
  <si>
    <t>Ideias</t>
  </si>
  <si>
    <t>Tipos de atualização</t>
  </si>
  <si>
    <t>Atualizações</t>
  </si>
  <si>
    <t>Digite aqui sugestões de melhorias (digitar na MATRIZ)</t>
  </si>
  <si>
    <t>X.</t>
  </si>
  <si>
    <t>XX</t>
  </si>
  <si>
    <t>Criação da nova versão de planilha de avaliação física, agora no google planilhas</t>
  </si>
  <si>
    <t>Simples</t>
  </si>
  <si>
    <t>Criação da Aba Anotações Gerais; Ajuste de fórmula percentual de gordura, pequenas correções de formato de texto</t>
  </si>
  <si>
    <t>Pequenas melhorias</t>
  </si>
  <si>
    <t>Seleção da avaliação na meta calórica</t>
  </si>
  <si>
    <t>Pacote de pequenas correções</t>
  </si>
  <si>
    <t>Correções</t>
  </si>
  <si>
    <t>Correção Fórmula ventilometria + Gráfico Vo2max</t>
  </si>
  <si>
    <t>Melhorias relevantes</t>
  </si>
  <si>
    <t>Correção de classificação RML Abdominal; Adição de linha de tipo de avaliação</t>
  </si>
  <si>
    <t>Correção da fórmula índice postural</t>
  </si>
  <si>
    <t>Correções importantes</t>
  </si>
  <si>
    <t>Adição de preferencia de velocidade pela ventilometria no laudo + correção de vinculo dados de base anterior no laudo</t>
  </si>
  <si>
    <t>Atualização de grande escala</t>
  </si>
  <si>
    <t>Adição de outros componentes, para controle de outras variáveis não contempladas no protocolo padrão</t>
  </si>
  <si>
    <t>Otimização de layout avaliação física - Preenchimento condicional av atual</t>
  </si>
  <si>
    <t>Otimização visual grafico resumo capacidades - multiplador 0,1 nos pontos acima de 100%</t>
  </si>
  <si>
    <t>Adição de fórmula para imagem avaliação postural</t>
  </si>
  <si>
    <t>Adição de item outros gastos energéticos no laudo e meta calórica</t>
  </si>
  <si>
    <t>Ajuste de exportação de dados + Refórmula para pegar ultimos dados de bicicleta e esteira</t>
  </si>
  <si>
    <t>Série de ajustes para nova planilha de montagem</t>
  </si>
  <si>
    <t>Correção corresp BD tratado (A147)</t>
  </si>
  <si>
    <t>Correção gráfico de cores avaliação postural</t>
  </si>
  <si>
    <t>Otimização de layout</t>
  </si>
  <si>
    <t>Ctrl + C</t>
  </si>
  <si>
    <t>objetivo e anotações gerais</t>
  </si>
  <si>
    <t>Data Av. + Gráfico</t>
  </si>
  <si>
    <t>Capacidades Físicas</t>
  </si>
  <si>
    <t>Testes Físicos</t>
  </si>
  <si>
    <t>Status</t>
  </si>
  <si>
    <t>Idade (&gt;=)</t>
  </si>
  <si>
    <t>Idade (&lt;=)</t>
  </si>
  <si>
    <t>Índice (&gt;=)</t>
  </si>
  <si>
    <t>Índice (&lt;=)</t>
  </si>
  <si>
    <t>Feminio</t>
  </si>
  <si>
    <t>RML Membros Superiores</t>
  </si>
  <si>
    <t>Consumo Máximo de Oxigênio</t>
  </si>
  <si>
    <t>Composição Corporal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</si>
</sst>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d/m/yy"/>
    <numFmt numFmtId="165" formatCode="dd/mm/yy"/>
    <numFmt numFmtId="166" formatCode="hh&quot;:&quot;mm"/>
    <numFmt numFmtId="167" formatCode="0.0"/>
    <numFmt numFmtId="168" formatCode="\ \▲0;\▼0"/>
    <numFmt numFmtId="169" formatCode="0.0%"/>
    <numFmt numFmtId="170" formatCode="d\-m"/>
    <numFmt numFmtId="171" formatCode="dd\-mm"/>
    <numFmt numFmtId="172" formatCode="d\.m\.yy"/>
  </numFmts>
  <fonts count="65">
    <font>
      <sz val="10"/>
      <color rgb="FF000000"/>
      <name val="Arial"/>
      <scheme val="minor"/>
    </font>
    <font>
      <sz val="11"/>
      <color theme="1"/>
      <name val="Calibri"/>
    </font>
    <font>
      <sz val="10"/>
      <color theme="1"/>
      <name val="Arial"/>
    </font>
    <font>
      <sz val="10"/>
      <color theme="1"/>
      <name val="Arial"/>
    </font>
    <font>
      <sz val="10"/>
      <color theme="1"/>
      <name val="Calibri"/>
    </font>
    <font>
      <b/>
      <sz val="10"/>
      <color theme="1"/>
      <name val="Arial"/>
    </font>
    <font>
      <sz val="10"/>
      <color theme="1"/>
      <name val="Arial"/>
      <scheme val="minor"/>
    </font>
    <font>
      <sz val="10"/>
      <color theme="1"/>
      <name val="Arial"/>
      <scheme val="minor"/>
    </font>
    <font>
      <b/>
      <sz val="11"/>
      <color theme="1"/>
      <name val="Arial"/>
      <scheme val="minor"/>
    </font>
    <font>
      <sz val="11"/>
      <color theme="1"/>
      <name val="Arial"/>
      <scheme val="minor"/>
    </font>
    <font>
      <b/>
      <sz val="11"/>
      <color theme="1"/>
      <name val="Arial"/>
    </font>
    <font>
      <u/>
      <sz val="7"/>
      <color rgb="FF4285F4"/>
      <name val="Arial"/>
    </font>
    <font>
      <sz val="11"/>
      <color rgb="FF7030A0"/>
      <name val="Arial"/>
    </font>
    <font>
      <sz val="11"/>
      <color rgb="FFCCCCCC"/>
      <name val="&quot;Google Sans&quot;"/>
    </font>
    <font>
      <sz val="11"/>
      <color rgb="FF1F1F1F"/>
      <name val="&quot;Google Sans&quot;"/>
    </font>
    <font>
      <sz val="11"/>
      <color rgb="FFCCCCCC"/>
      <name val="Arial"/>
      <scheme val="minor"/>
    </font>
    <font>
      <u/>
      <sz val="11"/>
      <color rgb="FFFF0000"/>
      <name val="Arial"/>
    </font>
    <font>
      <sz val="11"/>
      <color rgb="FFFFFFFF"/>
      <name val="Arial"/>
      <scheme val="minor"/>
    </font>
    <font>
      <sz val="11"/>
      <color theme="1"/>
      <name val="Arial"/>
    </font>
    <font>
      <u/>
      <sz val="11"/>
      <color rgb="FFFF0000"/>
      <name val="Arial"/>
    </font>
    <font>
      <b/>
      <sz val="11"/>
      <color rgb="FF000000"/>
      <name val="Arial"/>
    </font>
    <font>
      <b/>
      <sz val="12"/>
      <color theme="1"/>
      <name val="Arial"/>
      <scheme val="minor"/>
    </font>
    <font>
      <sz val="12"/>
      <color theme="1"/>
      <name val="Arial"/>
      <scheme val="minor"/>
    </font>
    <font>
      <sz val="10"/>
      <name val="Arial"/>
    </font>
    <font>
      <b/>
      <sz val="10"/>
      <color theme="1"/>
      <name val="Arial"/>
      <scheme val="minor"/>
    </font>
    <font>
      <b/>
      <sz val="10"/>
      <color rgb="FF000000"/>
      <name val="Arial"/>
    </font>
    <font>
      <b/>
      <sz val="10"/>
      <color theme="1"/>
      <name val="Arial"/>
      <scheme val="minor"/>
    </font>
    <font>
      <b/>
      <sz val="9"/>
      <color theme="1"/>
      <name val="Arial"/>
      <scheme val="minor"/>
    </font>
    <font>
      <sz val="9"/>
      <color theme="1"/>
      <name val="Arial"/>
      <scheme val="minor"/>
    </font>
    <font>
      <sz val="9"/>
      <color rgb="FF000000"/>
      <name val="&quot;Google Sans Mono&quot;"/>
    </font>
    <font>
      <b/>
      <u/>
      <sz val="10"/>
      <color rgb="FFFF0000"/>
      <name val="Arial"/>
      <scheme val="minor"/>
    </font>
    <font>
      <b/>
      <sz val="28"/>
      <color theme="1"/>
      <name val="Arial"/>
    </font>
    <font>
      <b/>
      <sz val="8"/>
      <color theme="1"/>
      <name val="Arial"/>
      <scheme val="minor"/>
    </font>
    <font>
      <b/>
      <sz val="12"/>
      <color theme="1"/>
      <name val="Arial"/>
    </font>
    <font>
      <sz val="10"/>
      <color rgb="FF666666"/>
      <name val="Arial"/>
    </font>
    <font>
      <b/>
      <sz val="10"/>
      <color theme="1"/>
      <name val="Arial"/>
    </font>
    <font>
      <sz val="8"/>
      <color theme="1"/>
      <name val="Arial"/>
    </font>
    <font>
      <sz val="10"/>
      <color rgb="FFFFFFFF"/>
      <name val="Arial"/>
    </font>
    <font>
      <sz val="10"/>
      <color rgb="FFFFFFFF"/>
      <name val="Arial"/>
      <scheme val="minor"/>
    </font>
    <font>
      <b/>
      <sz val="9"/>
      <color theme="1"/>
      <name val="Arial"/>
    </font>
    <font>
      <sz val="9"/>
      <color rgb="FFFFFFFF"/>
      <name val="&quot;Google Sans Mono&quot;"/>
    </font>
    <font>
      <b/>
      <sz val="15"/>
      <color theme="1"/>
      <name val="Arial"/>
      <scheme val="minor"/>
    </font>
    <font>
      <sz val="7"/>
      <color theme="1"/>
      <name val="Arial"/>
      <scheme val="minor"/>
    </font>
    <font>
      <sz val="10"/>
      <color rgb="FF000000"/>
      <name val="Arial"/>
    </font>
    <font>
      <b/>
      <sz val="10"/>
      <color rgb="FF666666"/>
      <name val="Arial"/>
    </font>
    <font>
      <sz val="10"/>
      <color theme="1"/>
      <name val="AriaL"/>
    </font>
    <font>
      <b/>
      <sz val="10"/>
      <color theme="1"/>
      <name val="AriaL"/>
    </font>
    <font>
      <sz val="8"/>
      <color rgb="FF000000"/>
      <name val="Arial"/>
    </font>
    <font>
      <sz val="7"/>
      <color theme="1"/>
      <name val="Arial"/>
    </font>
    <font>
      <b/>
      <sz val="7"/>
      <color rgb="FF000000"/>
      <name val="Arial"/>
    </font>
    <font>
      <b/>
      <sz val="7"/>
      <color rgb="FFFFFFFF"/>
      <name val="Arial"/>
    </font>
    <font>
      <b/>
      <sz val="8"/>
      <color rgb="FF000000"/>
      <name val="Arial"/>
    </font>
    <font>
      <sz val="10"/>
      <color rgb="FFFF0000"/>
      <name val="Arial"/>
      <scheme val="minor"/>
    </font>
    <font>
      <sz val="10"/>
      <color rgb="FF000000"/>
      <name val="Arial"/>
      <scheme val="minor"/>
    </font>
    <font>
      <b/>
      <sz val="10"/>
      <color rgb="FF000000"/>
      <name val="Arial"/>
      <scheme val="minor"/>
    </font>
    <font>
      <sz val="1"/>
      <color theme="1"/>
      <name val="Arial"/>
      <scheme val="minor"/>
    </font>
    <font>
      <b/>
      <vertAlign val="subscript"/>
      <sz val="11"/>
      <color theme="1"/>
      <name val="Arial"/>
    </font>
    <font>
      <b/>
      <vertAlign val="subscript"/>
      <sz val="11"/>
      <color rgb="FF000000"/>
      <name val="Arial"/>
    </font>
    <font>
      <b/>
      <sz val="10"/>
      <color rgb="FF000000"/>
      <name val="Arial, sans-serif"/>
    </font>
    <font>
      <sz val="8"/>
      <color rgb="FF000000"/>
      <name val="Arial, sans-serif"/>
    </font>
    <font>
      <b/>
      <sz val="6"/>
      <color theme="1"/>
      <name val="Arial"/>
    </font>
    <font>
      <b/>
      <sz val="8"/>
      <color theme="1"/>
      <name val="Arial"/>
    </font>
    <font>
      <b/>
      <sz val="10"/>
      <color rgb="FF000000"/>
      <name val="Arial"/>
      <family val="2"/>
      <scheme val="minor"/>
    </font>
    <font>
      <sz val="7"/>
      <color theme="1"/>
      <name val="Arial"/>
      <family val="2"/>
      <scheme val="minor"/>
    </font>
    <font>
      <sz val="10"/>
      <color rgb="FF000000"/>
      <name val="Arial"/>
      <family val="2"/>
      <scheme val="minor"/>
    </font>
  </fonts>
  <fills count="37">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
      <patternFill patternType="solid">
        <fgColor rgb="FFD9D9D9"/>
        <bgColor rgb="FFD9D9D9"/>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DD7E6B"/>
        <bgColor rgb="FFDD7E6B"/>
      </patternFill>
    </fill>
    <fill>
      <patternFill patternType="solid">
        <fgColor rgb="FFFF0308"/>
        <bgColor rgb="FFFF0308"/>
      </patternFill>
    </fill>
    <fill>
      <patternFill patternType="solid">
        <fgColor rgb="FFFF9800"/>
        <bgColor rgb="FFFF9800"/>
      </patternFill>
    </fill>
    <fill>
      <patternFill patternType="solid">
        <fgColor rgb="FFFFFD00"/>
        <bgColor rgb="FFFFFD00"/>
      </patternFill>
    </fill>
    <fill>
      <patternFill patternType="solid">
        <fgColor rgb="FFCEFF00"/>
        <bgColor rgb="FFCEFF00"/>
      </patternFill>
    </fill>
    <fill>
      <patternFill patternType="solid">
        <fgColor rgb="FFA5FF00"/>
        <bgColor rgb="FFA5FF00"/>
      </patternFill>
    </fill>
    <fill>
      <patternFill patternType="solid">
        <fgColor rgb="FFCFE2F3"/>
        <bgColor rgb="FFCFE2F3"/>
      </patternFill>
    </fill>
    <fill>
      <patternFill patternType="solid">
        <fgColor rgb="FFD4E4FF"/>
        <bgColor rgb="FFD4E4FF"/>
      </patternFill>
    </fill>
    <fill>
      <patternFill patternType="solid">
        <fgColor rgb="FF434343"/>
        <bgColor rgb="FF434343"/>
      </patternFill>
    </fill>
    <fill>
      <patternFill patternType="solid">
        <fgColor rgb="FFFFF7DE"/>
        <bgColor rgb="FFFFF7DE"/>
      </patternFill>
    </fill>
    <fill>
      <patternFill patternType="solid">
        <fgColor rgb="FFF3F3F3"/>
        <bgColor rgb="FFF3F3F3"/>
      </patternFill>
    </fill>
    <fill>
      <patternFill patternType="solid">
        <fgColor rgb="FFFFF2CC"/>
        <bgColor rgb="FFFFF2CC"/>
      </patternFill>
    </fill>
    <fill>
      <patternFill patternType="solid">
        <fgColor rgb="FF000000"/>
        <bgColor rgb="FF000000"/>
      </patternFill>
    </fill>
    <fill>
      <patternFill patternType="solid">
        <fgColor theme="0"/>
        <bgColor theme="0"/>
      </patternFill>
    </fill>
    <fill>
      <patternFill patternType="solid">
        <fgColor rgb="FFCCCCCC"/>
        <bgColor rgb="FFCCCCCC"/>
      </patternFill>
    </fill>
    <fill>
      <patternFill patternType="solid">
        <fgColor rgb="FFF2F2F2"/>
        <bgColor rgb="FFF2F2F2"/>
      </patternFill>
    </fill>
    <fill>
      <patternFill patternType="solid">
        <fgColor rgb="FFC2D79C"/>
        <bgColor rgb="FFC2D79C"/>
      </patternFill>
    </fill>
    <fill>
      <patternFill patternType="solid">
        <fgColor rgb="FFFFFF0A"/>
        <bgColor rgb="FFFFFF0A"/>
      </patternFill>
    </fill>
    <fill>
      <patternFill patternType="solid">
        <fgColor rgb="FFFD8008"/>
        <bgColor rgb="FFFD8008"/>
      </patternFill>
    </fill>
    <fill>
      <patternFill patternType="solid">
        <fgColor rgb="FFFB0207"/>
        <bgColor rgb="FFFB0207"/>
      </patternFill>
    </fill>
    <fill>
      <patternFill patternType="solid">
        <fgColor rgb="FFE6B8AF"/>
        <bgColor rgb="FFE6B8AF"/>
      </patternFill>
    </fill>
    <fill>
      <patternFill patternType="solid">
        <fgColor rgb="FFC9DAF8"/>
        <bgColor rgb="FFC9DAF8"/>
      </patternFill>
    </fill>
    <fill>
      <patternFill patternType="solid">
        <fgColor rgb="FFF4CCCC"/>
        <bgColor rgb="FFF4CCCC"/>
      </patternFill>
    </fill>
    <fill>
      <patternFill patternType="solid">
        <fgColor rgb="FFFCE5CD"/>
        <bgColor rgb="FFFCE5CD"/>
      </patternFill>
    </fill>
    <fill>
      <patternFill patternType="solid">
        <fgColor rgb="FFD9D2E9"/>
        <bgColor rgb="FFD9D2E9"/>
      </patternFill>
    </fill>
    <fill>
      <patternFill patternType="solid">
        <fgColor theme="0" tint="-0.499984740745262"/>
        <bgColor indexed="64"/>
      </patternFill>
    </fill>
    <fill>
      <patternFill patternType="solid">
        <fgColor theme="4" tint="0.79998168889431442"/>
        <bgColor indexed="64"/>
      </patternFill>
    </fill>
    <fill>
      <patternFill patternType="solid">
        <fgColor theme="5" tint="0.79998168889431442"/>
        <bgColor indexed="64"/>
      </patternFill>
    </fill>
  </fills>
  <borders count="35">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ck">
        <color rgb="FF000000"/>
      </bottom>
      <diagonal/>
    </border>
    <border>
      <left/>
      <right/>
      <top style="medium">
        <color rgb="FF000000"/>
      </top>
      <bottom/>
      <diagonal/>
    </border>
    <border>
      <left style="thin">
        <color rgb="FF000000"/>
      </left>
      <right style="thin">
        <color rgb="FF000000"/>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FFFFFF"/>
      </left>
      <right style="thin">
        <color rgb="FFFFFFFF"/>
      </right>
      <top style="thin">
        <color rgb="FFFFFFFF"/>
      </top>
      <bottom style="thin">
        <color rgb="FFFFFFFF"/>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FFFFFF"/>
      </left>
      <right style="medium">
        <color rgb="FFFFFFFF"/>
      </right>
      <top/>
      <bottom style="medium">
        <color rgb="FFFFFFFF"/>
      </bottom>
      <diagonal/>
    </border>
    <border>
      <left style="thin">
        <color rgb="FF000000"/>
      </left>
      <right style="thin">
        <color rgb="FF000000"/>
      </right>
      <top/>
      <bottom style="thin">
        <color rgb="FF000000"/>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top style="thin">
        <color rgb="FFFFFFFF"/>
      </top>
      <bottom style="thin">
        <color rgb="FFFFFFFF"/>
      </bottom>
      <diagonal/>
    </border>
  </borders>
  <cellStyleXfs count="2">
    <xf numFmtId="0" fontId="0" fillId="0" borderId="0"/>
    <xf numFmtId="43" fontId="53" fillId="0" borderId="0" applyFont="0" applyFill="0" applyBorder="0" applyAlignment="0" applyProtection="0"/>
  </cellStyleXfs>
  <cellXfs count="511">
    <xf numFmtId="0" fontId="0" fillId="0" borderId="0" xfId="0"/>
    <xf numFmtId="0" fontId="1" fillId="3" borderId="0" xfId="0" applyFont="1" applyFill="1"/>
    <xf numFmtId="0" fontId="2" fillId="0" borderId="0" xfId="0" applyFont="1"/>
    <xf numFmtId="0" fontId="2" fillId="0" borderId="0" xfId="0" applyFont="1" applyAlignment="1">
      <alignment horizontal="center"/>
    </xf>
    <xf numFmtId="0" fontId="2" fillId="3" borderId="0" xfId="0" applyFont="1" applyFill="1" applyAlignment="1">
      <alignment horizontal="center"/>
    </xf>
    <xf numFmtId="0" fontId="2" fillId="3" borderId="0" xfId="0" applyFont="1" applyFill="1"/>
    <xf numFmtId="0" fontId="3" fillId="3" borderId="0" xfId="0" applyFont="1" applyFill="1"/>
    <xf numFmtId="0" fontId="4" fillId="3" borderId="0" xfId="0" applyFont="1" applyFill="1"/>
    <xf numFmtId="0" fontId="5" fillId="0" borderId="0" xfId="0" applyFont="1"/>
    <xf numFmtId="14" fontId="3" fillId="3" borderId="0" xfId="0" applyNumberFormat="1" applyFont="1" applyFill="1"/>
    <xf numFmtId="164" fontId="3" fillId="3" borderId="0" xfId="0" applyNumberFormat="1" applyFont="1" applyFill="1"/>
    <xf numFmtId="165" fontId="3" fillId="3" borderId="0" xfId="0" applyNumberFormat="1" applyFont="1" applyFill="1"/>
    <xf numFmtId="0" fontId="6" fillId="0" borderId="0" xfId="0" applyFont="1" applyAlignment="1">
      <alignment horizontal="center"/>
    </xf>
    <xf numFmtId="0" fontId="7" fillId="0" borderId="0" xfId="0" applyFont="1"/>
    <xf numFmtId="0" fontId="8" fillId="0" borderId="0" xfId="0" applyFont="1" applyAlignment="1">
      <alignment horizontal="center" vertical="center"/>
    </xf>
    <xf numFmtId="0" fontId="9" fillId="0" borderId="0" xfId="0" applyFont="1" applyAlignment="1">
      <alignment horizontal="center" vertical="center"/>
    </xf>
    <xf numFmtId="14" fontId="9" fillId="3" borderId="0" xfId="0" applyNumberFormat="1" applyFont="1" applyFill="1" applyAlignment="1">
      <alignment horizontal="center" vertical="center"/>
    </xf>
    <xf numFmtId="0" fontId="9" fillId="0" borderId="0" xfId="0" applyFont="1" applyAlignment="1">
      <alignment vertical="center"/>
    </xf>
    <xf numFmtId="0" fontId="10" fillId="0" borderId="0" xfId="0" applyFont="1" applyAlignment="1">
      <alignment horizontal="center" vertical="center" wrapText="1"/>
    </xf>
    <xf numFmtId="0" fontId="9" fillId="3" borderId="0" xfId="0" applyFont="1" applyFill="1" applyAlignment="1">
      <alignment horizontal="center" vertical="center"/>
    </xf>
    <xf numFmtId="0" fontId="11" fillId="0" borderId="0" xfId="0" applyFont="1" applyAlignment="1">
      <alignment horizontal="left" vertical="center"/>
    </xf>
    <xf numFmtId="0" fontId="12" fillId="0" borderId="0" xfId="0" applyFont="1" applyAlignment="1">
      <alignment horizontal="center" vertical="center"/>
    </xf>
    <xf numFmtId="0" fontId="13" fillId="2" borderId="0" xfId="0" applyFont="1" applyFill="1" applyAlignment="1">
      <alignment horizontal="center" vertical="center"/>
    </xf>
    <xf numFmtId="0" fontId="14" fillId="2" borderId="0" xfId="0" applyFont="1" applyFill="1" applyAlignment="1">
      <alignment horizontal="center" vertical="center"/>
    </xf>
    <xf numFmtId="14" fontId="8" fillId="3" borderId="0" xfId="0" applyNumberFormat="1" applyFont="1" applyFill="1" applyAlignment="1">
      <alignment horizontal="center" vertical="center"/>
    </xf>
    <xf numFmtId="0" fontId="15" fillId="0" borderId="0" xfId="0" applyFont="1" applyAlignment="1">
      <alignment horizontal="center" vertical="center"/>
    </xf>
    <xf numFmtId="166" fontId="15" fillId="0" borderId="0" xfId="0" applyNumberFormat="1" applyFont="1" applyAlignment="1">
      <alignment horizontal="center" vertical="center"/>
    </xf>
    <xf numFmtId="166" fontId="9" fillId="3" borderId="0" xfId="0" applyNumberFormat="1" applyFont="1" applyFill="1" applyAlignment="1">
      <alignment horizontal="center" vertical="center"/>
    </xf>
    <xf numFmtId="14" fontId="9" fillId="0" borderId="0" xfId="0" applyNumberFormat="1" applyFont="1" applyAlignment="1">
      <alignment horizontal="center" vertical="center"/>
    </xf>
    <xf numFmtId="0" fontId="17" fillId="0" borderId="0" xfId="0" applyFont="1" applyAlignment="1">
      <alignment horizontal="center" vertical="center"/>
    </xf>
    <xf numFmtId="2" fontId="9" fillId="0" borderId="0" xfId="0" applyNumberFormat="1" applyFont="1" applyAlignment="1">
      <alignment horizontal="center" vertical="center"/>
    </xf>
    <xf numFmtId="167" fontId="18" fillId="3" borderId="0" xfId="0" applyNumberFormat="1" applyFont="1" applyFill="1" applyAlignment="1">
      <alignment horizontal="center" vertical="center"/>
    </xf>
    <xf numFmtId="167" fontId="15" fillId="0" borderId="0" xfId="0" applyNumberFormat="1" applyFont="1" applyAlignment="1">
      <alignment horizontal="center" vertical="center"/>
    </xf>
    <xf numFmtId="167" fontId="9" fillId="0" borderId="0" xfId="0" applyNumberFormat="1" applyFont="1" applyAlignment="1">
      <alignment horizontal="center" vertical="center"/>
    </xf>
    <xf numFmtId="0" fontId="6" fillId="0" borderId="0" xfId="0" applyFont="1"/>
    <xf numFmtId="2" fontId="18" fillId="3" borderId="0" xfId="0" applyNumberFormat="1" applyFont="1" applyFill="1" applyAlignment="1">
      <alignment horizontal="center" vertical="center"/>
    </xf>
    <xf numFmtId="168" fontId="9" fillId="0" borderId="0" xfId="0" applyNumberFormat="1" applyFont="1" applyAlignment="1">
      <alignment horizontal="center" vertical="center"/>
    </xf>
    <xf numFmtId="1" fontId="18" fillId="3" borderId="0" xfId="0" applyNumberFormat="1" applyFont="1" applyFill="1" applyAlignment="1">
      <alignment horizontal="center" vertical="center"/>
    </xf>
    <xf numFmtId="1" fontId="18" fillId="0" borderId="0" xfId="0" applyNumberFormat="1" applyFont="1" applyAlignment="1">
      <alignment horizontal="center" vertical="center"/>
    </xf>
    <xf numFmtId="167" fontId="17" fillId="0" borderId="0" xfId="0" applyNumberFormat="1" applyFont="1" applyAlignment="1">
      <alignment horizontal="center" vertical="center"/>
    </xf>
    <xf numFmtId="1" fontId="9" fillId="0" borderId="0" xfId="0" applyNumberFormat="1" applyFont="1" applyAlignment="1">
      <alignment horizontal="center" vertical="center"/>
    </xf>
    <xf numFmtId="0" fontId="6" fillId="0" borderId="0" xfId="0" applyFont="1" applyAlignment="1">
      <alignment vertical="center"/>
    </xf>
    <xf numFmtId="0" fontId="6" fillId="0" borderId="0" xfId="0" applyFont="1" applyAlignment="1">
      <alignment vertical="center" wrapText="1"/>
    </xf>
    <xf numFmtId="0" fontId="24" fillId="0" borderId="1" xfId="0" applyFont="1" applyBorder="1" applyAlignment="1">
      <alignment horizontal="center" vertical="center"/>
    </xf>
    <xf numFmtId="0" fontId="6" fillId="0" borderId="1" xfId="0" applyFont="1" applyBorder="1" applyAlignment="1">
      <alignment vertical="center"/>
    </xf>
    <xf numFmtId="0" fontId="24" fillId="0" borderId="1" xfId="0" applyFont="1" applyBorder="1" applyAlignment="1">
      <alignment horizontal="center" vertical="center" wrapText="1"/>
    </xf>
    <xf numFmtId="0" fontId="6" fillId="0" borderId="2" xfId="0" applyFont="1" applyBorder="1" applyAlignment="1">
      <alignment vertical="center"/>
    </xf>
    <xf numFmtId="0" fontId="24" fillId="0" borderId="2" xfId="0" applyFont="1" applyBorder="1" applyAlignment="1">
      <alignment horizontal="center" vertical="center" wrapText="1"/>
    </xf>
    <xf numFmtId="0" fontId="24" fillId="0" borderId="0" xfId="0" applyFont="1" applyAlignment="1">
      <alignment vertical="center" wrapText="1"/>
    </xf>
    <xf numFmtId="167" fontId="6" fillId="0" borderId="0" xfId="0" applyNumberFormat="1" applyFont="1" applyAlignment="1">
      <alignment horizontal="center" vertical="center" wrapText="1"/>
    </xf>
    <xf numFmtId="167" fontId="6" fillId="3" borderId="0" xfId="0" applyNumberFormat="1" applyFont="1" applyFill="1" applyAlignment="1">
      <alignment horizontal="center" vertical="center" wrapText="1"/>
    </xf>
    <xf numFmtId="167" fontId="6" fillId="0" borderId="0" xfId="0" applyNumberFormat="1" applyFont="1" applyAlignment="1">
      <alignment vertical="center" wrapText="1"/>
    </xf>
    <xf numFmtId="167" fontId="2" fillId="0" borderId="0" xfId="0" applyNumberFormat="1" applyFont="1" applyAlignment="1">
      <alignment horizontal="center" vertical="center" wrapText="1"/>
    </xf>
    <xf numFmtId="0" fontId="24" fillId="0" borderId="2" xfId="0" applyFont="1" applyBorder="1" applyAlignment="1">
      <alignment vertical="center" wrapText="1"/>
    </xf>
    <xf numFmtId="0" fontId="6" fillId="0" borderId="2" xfId="0" applyFont="1" applyBorder="1" applyAlignment="1">
      <alignment vertical="center" wrapText="1"/>
    </xf>
    <xf numFmtId="167" fontId="6" fillId="0" borderId="2" xfId="0" applyNumberFormat="1" applyFont="1" applyBorder="1" applyAlignment="1">
      <alignment horizontal="center" vertical="center" wrapText="1"/>
    </xf>
    <xf numFmtId="167" fontId="6" fillId="0" borderId="2" xfId="0" applyNumberFormat="1" applyFont="1" applyBorder="1" applyAlignment="1">
      <alignment vertical="center" wrapText="1"/>
    </xf>
    <xf numFmtId="0" fontId="6" fillId="0" borderId="2" xfId="0" applyFont="1" applyBorder="1" applyAlignment="1">
      <alignment horizontal="center" vertical="center" wrapText="1"/>
    </xf>
    <xf numFmtId="0" fontId="6" fillId="0" borderId="0" xfId="0" applyFont="1" applyAlignment="1">
      <alignment vertical="top" wrapText="1"/>
    </xf>
    <xf numFmtId="0" fontId="6" fillId="0" borderId="3" xfId="0" applyFont="1" applyBorder="1" applyAlignment="1">
      <alignment vertical="center" wrapText="1"/>
    </xf>
    <xf numFmtId="0" fontId="24" fillId="0" borderId="3" xfId="0" applyFont="1" applyBorder="1" applyAlignment="1">
      <alignment horizontal="center" vertical="center" wrapText="1"/>
    </xf>
    <xf numFmtId="1" fontId="6" fillId="0" borderId="0" xfId="0" applyNumberFormat="1" applyFont="1" applyAlignment="1">
      <alignment vertical="center" wrapText="1"/>
    </xf>
    <xf numFmtId="1" fontId="24" fillId="0" borderId="0" xfId="0" applyNumberFormat="1" applyFont="1" applyAlignment="1">
      <alignment horizontal="center" vertical="center" wrapText="1"/>
    </xf>
    <xf numFmtId="1" fontId="6" fillId="0" borderId="2" xfId="0" applyNumberFormat="1" applyFont="1" applyBorder="1" applyAlignment="1">
      <alignment vertical="center" wrapText="1"/>
    </xf>
    <xf numFmtId="0" fontId="24" fillId="0" borderId="3"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9" fontId="6" fillId="0" borderId="2" xfId="0" applyNumberFormat="1" applyFont="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left" vertical="center"/>
    </xf>
    <xf numFmtId="2" fontId="6" fillId="3" borderId="0" xfId="0" applyNumberFormat="1" applyFont="1" applyFill="1" applyAlignment="1">
      <alignment horizontal="center" vertical="center" wrapText="1"/>
    </xf>
    <xf numFmtId="0" fontId="6" fillId="0" borderId="0" xfId="0" applyFont="1" applyAlignment="1">
      <alignment horizontal="center" vertical="center" wrapText="1"/>
    </xf>
    <xf numFmtId="0" fontId="24" fillId="0" borderId="1" xfId="0" applyFont="1" applyBorder="1" applyAlignment="1">
      <alignment vertical="center" wrapText="1"/>
    </xf>
    <xf numFmtId="0" fontId="6" fillId="0" borderId="0" xfId="0" applyFont="1" applyAlignment="1">
      <alignment horizontal="center" vertical="center"/>
    </xf>
    <xf numFmtId="0" fontId="6" fillId="0" borderId="3" xfId="0" applyFont="1" applyBorder="1" applyAlignment="1">
      <alignment horizontal="center" vertical="center" wrapText="1"/>
    </xf>
    <xf numFmtId="1" fontId="24" fillId="0" borderId="1" xfId="0" applyNumberFormat="1" applyFont="1" applyBorder="1" applyAlignment="1">
      <alignment horizontal="right" vertical="center" wrapText="1"/>
    </xf>
    <xf numFmtId="0" fontId="24" fillId="0" borderId="4" xfId="0" applyFont="1" applyBorder="1" applyAlignment="1">
      <alignment horizontal="center" vertical="center" wrapText="1"/>
    </xf>
    <xf numFmtId="1" fontId="24" fillId="0" borderId="1" xfId="0" applyNumberFormat="1" applyFont="1" applyBorder="1" applyAlignment="1">
      <alignment horizontal="center" vertical="center" wrapText="1"/>
    </xf>
    <xf numFmtId="167" fontId="6" fillId="0" borderId="5" xfId="0" applyNumberFormat="1" applyFont="1" applyBorder="1" applyAlignment="1">
      <alignment horizontal="center" vertical="center" wrapText="1"/>
    </xf>
    <xf numFmtId="167" fontId="6" fillId="3" borderId="2" xfId="0" applyNumberFormat="1" applyFont="1" applyFill="1" applyBorder="1" applyAlignment="1">
      <alignment horizontal="center" vertical="center" wrapText="1"/>
    </xf>
    <xf numFmtId="0" fontId="6" fillId="0" borderId="6" xfId="0" applyFont="1" applyBorder="1" applyAlignment="1">
      <alignment horizontal="center" vertical="center" wrapText="1"/>
    </xf>
    <xf numFmtId="0" fontId="7" fillId="0" borderId="0" xfId="0" applyFont="1" applyAlignment="1">
      <alignment horizontal="left" vertical="center"/>
    </xf>
    <xf numFmtId="0" fontId="7" fillId="0" borderId="1" xfId="0" applyFont="1" applyBorder="1" applyAlignment="1">
      <alignment horizontal="left" vertical="center"/>
    </xf>
    <xf numFmtId="0" fontId="7" fillId="0" borderId="4" xfId="0" applyFont="1" applyBorder="1" applyAlignment="1">
      <alignment horizontal="left" vertical="center"/>
    </xf>
    <xf numFmtId="0" fontId="28" fillId="0" borderId="1" xfId="0" applyFont="1" applyBorder="1" applyAlignment="1">
      <alignment horizontal="center" vertical="center"/>
    </xf>
    <xf numFmtId="0" fontId="28" fillId="0" borderId="4" xfId="0" applyFont="1" applyBorder="1" applyAlignment="1">
      <alignment horizontal="center" vertical="center"/>
    </xf>
    <xf numFmtId="0" fontId="6" fillId="3" borderId="0" xfId="0" applyFont="1" applyFill="1" applyAlignment="1">
      <alignment horizontal="center" vertical="center"/>
    </xf>
    <xf numFmtId="0" fontId="6" fillId="3" borderId="5"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7" xfId="0" applyFont="1" applyFill="1" applyBorder="1" applyAlignment="1">
      <alignment horizontal="center" vertical="center"/>
    </xf>
    <xf numFmtId="2" fontId="2" fillId="0" borderId="8" xfId="0" applyNumberFormat="1" applyFont="1" applyBorder="1" applyAlignment="1">
      <alignment horizontal="center"/>
    </xf>
    <xf numFmtId="1" fontId="2" fillId="0" borderId="8" xfId="0" applyNumberFormat="1" applyFont="1" applyBorder="1" applyAlignment="1">
      <alignment horizontal="center"/>
    </xf>
    <xf numFmtId="167" fontId="2" fillId="0" borderId="8" xfId="0" applyNumberFormat="1" applyFont="1" applyBorder="1" applyAlignment="1">
      <alignment horizontal="center"/>
    </xf>
    <xf numFmtId="167" fontId="6" fillId="3" borderId="5" xfId="0" applyNumberFormat="1" applyFont="1" applyFill="1" applyBorder="1" applyAlignment="1">
      <alignment horizontal="center" vertical="center"/>
    </xf>
    <xf numFmtId="0" fontId="2" fillId="0" borderId="8" xfId="0" applyFont="1" applyBorder="1" applyAlignment="1">
      <alignment horizontal="center"/>
    </xf>
    <xf numFmtId="0" fontId="2" fillId="0" borderId="9" xfId="0" applyFont="1" applyBorder="1" applyAlignment="1">
      <alignment horizontal="center"/>
    </xf>
    <xf numFmtId="0" fontId="24" fillId="0" borderId="4" xfId="0" applyFont="1" applyBorder="1" applyAlignment="1">
      <alignment horizontal="center" vertical="center"/>
    </xf>
    <xf numFmtId="0" fontId="6" fillId="0" borderId="5" xfId="0" applyFont="1" applyBorder="1" applyAlignment="1">
      <alignment horizontal="center" vertical="center"/>
    </xf>
    <xf numFmtId="0" fontId="2" fillId="3" borderId="8" xfId="0" applyFont="1" applyFill="1" applyBorder="1" applyAlignment="1">
      <alignment horizontal="center"/>
    </xf>
    <xf numFmtId="9" fontId="6" fillId="0" borderId="0" xfId="0" applyNumberFormat="1" applyFont="1" applyAlignment="1">
      <alignment horizontal="center" vertical="center"/>
    </xf>
    <xf numFmtId="1" fontId="2" fillId="0" borderId="0" xfId="0" applyNumberFormat="1" applyFont="1" applyAlignment="1">
      <alignment horizontal="center"/>
    </xf>
    <xf numFmtId="9" fontId="6" fillId="0" borderId="0" xfId="0" applyNumberFormat="1" applyFont="1" applyAlignment="1">
      <alignment vertical="center"/>
    </xf>
    <xf numFmtId="167" fontId="2" fillId="0" borderId="0" xfId="0" applyNumberFormat="1" applyFont="1" applyAlignment="1">
      <alignment horizontal="center"/>
    </xf>
    <xf numFmtId="0" fontId="29" fillId="2" borderId="0" xfId="0" applyFont="1" applyFill="1" applyAlignment="1">
      <alignment horizontal="center"/>
    </xf>
    <xf numFmtId="2" fontId="6" fillId="0" borderId="0" xfId="0" applyNumberFormat="1" applyFont="1"/>
    <xf numFmtId="1" fontId="6" fillId="0" borderId="0" xfId="0" applyNumberFormat="1" applyFont="1"/>
    <xf numFmtId="167" fontId="6" fillId="0" borderId="0" xfId="0" applyNumberFormat="1" applyFont="1"/>
    <xf numFmtId="0" fontId="9" fillId="0" borderId="0" xfId="0" applyFont="1" applyAlignment="1">
      <alignment horizontal="left" vertical="center"/>
    </xf>
    <xf numFmtId="0" fontId="30" fillId="0" borderId="0" xfId="0" applyFont="1"/>
    <xf numFmtId="14" fontId="6" fillId="0" borderId="0" xfId="0" applyNumberFormat="1" applyFont="1" applyAlignment="1">
      <alignment horizontal="center"/>
    </xf>
    <xf numFmtId="0" fontId="5" fillId="0" borderId="0" xfId="0" applyFont="1" applyAlignment="1">
      <alignment horizontal="left" vertical="center" wrapText="1"/>
    </xf>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2" fillId="0" borderId="10" xfId="0" applyFont="1" applyBorder="1" applyAlignment="1">
      <alignment horizontal="center" vertical="center"/>
    </xf>
    <xf numFmtId="0" fontId="5" fillId="0" borderId="0" xfId="0" applyFont="1" applyAlignment="1">
      <alignment horizontal="right"/>
    </xf>
    <xf numFmtId="0" fontId="5" fillId="0" borderId="0" xfId="0" applyFont="1" applyAlignment="1">
      <alignment horizontal="left"/>
    </xf>
    <xf numFmtId="0" fontId="6" fillId="0" borderId="0" xfId="0" applyFont="1" applyAlignment="1">
      <alignment horizontal="left"/>
    </xf>
    <xf numFmtId="0" fontId="5" fillId="0" borderId="2" xfId="0" applyFont="1" applyBorder="1" applyAlignment="1">
      <alignment horizontal="left" vertical="center"/>
    </xf>
    <xf numFmtId="0" fontId="2" fillId="0" borderId="2" xfId="0" applyFont="1" applyBorder="1" applyAlignment="1">
      <alignment horizontal="left" vertical="center"/>
    </xf>
    <xf numFmtId="0" fontId="5" fillId="0" borderId="1" xfId="0" applyFont="1" applyBorder="1" applyAlignment="1">
      <alignment horizontal="center" vertical="center"/>
    </xf>
    <xf numFmtId="167" fontId="34" fillId="0" borderId="0" xfId="0" applyNumberFormat="1" applyFont="1" applyAlignment="1">
      <alignment horizontal="center" vertical="center"/>
    </xf>
    <xf numFmtId="167" fontId="34" fillId="0" borderId="2" xfId="0" applyNumberFormat="1" applyFont="1" applyBorder="1" applyAlignment="1">
      <alignment horizontal="center" vertical="center"/>
    </xf>
    <xf numFmtId="0" fontId="6" fillId="0" borderId="1" xfId="0" applyFont="1" applyBorder="1"/>
    <xf numFmtId="0" fontId="6" fillId="0" borderId="2" xfId="0" applyFont="1" applyBorder="1"/>
    <xf numFmtId="0" fontId="6" fillId="0" borderId="2" xfId="0" applyFont="1" applyBorder="1" applyAlignment="1">
      <alignment vertical="top" wrapText="1"/>
    </xf>
    <xf numFmtId="0" fontId="5" fillId="0" borderId="2" xfId="0" applyFont="1" applyBorder="1" applyAlignment="1">
      <alignment horizontal="center" vertical="center"/>
    </xf>
    <xf numFmtId="0" fontId="36" fillId="0" borderId="2" xfId="0" applyFont="1" applyBorder="1" applyAlignment="1">
      <alignment horizontal="center" vertical="center"/>
    </xf>
    <xf numFmtId="0" fontId="37" fillId="0" borderId="0" xfId="0" applyFont="1" applyAlignment="1">
      <alignment horizontal="center" vertical="center"/>
    </xf>
    <xf numFmtId="0" fontId="38" fillId="0" borderId="0" xfId="0" applyFont="1"/>
    <xf numFmtId="0" fontId="40" fillId="2" borderId="0" xfId="0" applyFont="1" applyFill="1"/>
    <xf numFmtId="0" fontId="24" fillId="0" borderId="0" xfId="0" applyFont="1" applyAlignment="1">
      <alignment horizontal="center" vertical="center" wrapText="1"/>
    </xf>
    <xf numFmtId="0" fontId="6" fillId="0" borderId="0" xfId="0" applyFont="1" applyAlignment="1">
      <alignment wrapText="1"/>
    </xf>
    <xf numFmtId="0" fontId="6" fillId="0" borderId="2" xfId="0" applyFont="1" applyBorder="1" applyAlignment="1">
      <alignment horizontal="center"/>
    </xf>
    <xf numFmtId="10" fontId="6" fillId="0" borderId="2" xfId="0" applyNumberFormat="1" applyFont="1" applyBorder="1"/>
    <xf numFmtId="2" fontId="6" fillId="0" borderId="0" xfId="0" applyNumberFormat="1" applyFont="1" applyAlignment="1">
      <alignment horizontal="center" vertical="center" wrapText="1"/>
    </xf>
    <xf numFmtId="167" fontId="6" fillId="0" borderId="7"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24" fillId="0" borderId="0" xfId="0" applyFont="1"/>
    <xf numFmtId="0" fontId="6" fillId="10" borderId="0" xfId="0" applyFont="1" applyFill="1"/>
    <xf numFmtId="0" fontId="6" fillId="11" borderId="0" xfId="0" applyFont="1" applyFill="1"/>
    <xf numFmtId="0" fontId="6" fillId="12" borderId="0" xfId="0" applyFont="1" applyFill="1"/>
    <xf numFmtId="0" fontId="6" fillId="13" borderId="0" xfId="0" applyFont="1" applyFill="1"/>
    <xf numFmtId="0" fontId="6" fillId="14" borderId="0" xfId="0" applyFont="1" applyFill="1"/>
    <xf numFmtId="166" fontId="6" fillId="0" borderId="0" xfId="0" applyNumberFormat="1" applyFont="1" applyAlignment="1">
      <alignment horizontal="center"/>
    </xf>
    <xf numFmtId="167" fontId="6" fillId="0" borderId="0" xfId="0" applyNumberFormat="1" applyFont="1" applyAlignment="1">
      <alignment horizontal="center"/>
    </xf>
    <xf numFmtId="2" fontId="6" fillId="0" borderId="0" xfId="0" applyNumberFormat="1" applyFont="1" applyAlignment="1">
      <alignment horizontal="center"/>
    </xf>
    <xf numFmtId="1" fontId="6" fillId="0" borderId="0" xfId="0" applyNumberFormat="1" applyFont="1" applyAlignment="1">
      <alignment horizontal="center"/>
    </xf>
    <xf numFmtId="0" fontId="6" fillId="15" borderId="0" xfId="0" applyFont="1" applyFill="1" applyAlignment="1">
      <alignment horizontal="center"/>
    </xf>
    <xf numFmtId="0" fontId="12" fillId="15" borderId="0" xfId="0" applyFont="1" applyFill="1" applyAlignment="1">
      <alignment horizontal="center" vertical="center"/>
    </xf>
    <xf numFmtId="14" fontId="6" fillId="15" borderId="0" xfId="0" applyNumberFormat="1" applyFont="1" applyFill="1" applyAlignment="1">
      <alignment horizontal="center"/>
    </xf>
    <xf numFmtId="166" fontId="6" fillId="15" borderId="0" xfId="0" applyNumberFormat="1" applyFont="1" applyFill="1" applyAlignment="1">
      <alignment horizontal="center"/>
    </xf>
    <xf numFmtId="0" fontId="6" fillId="15" borderId="0" xfId="0" applyFont="1" applyFill="1"/>
    <xf numFmtId="167" fontId="6" fillId="15" borderId="0" xfId="0" applyNumberFormat="1" applyFont="1" applyFill="1" applyAlignment="1">
      <alignment horizontal="center"/>
    </xf>
    <xf numFmtId="2" fontId="6" fillId="15" borderId="0" xfId="0" applyNumberFormat="1" applyFont="1" applyFill="1" applyAlignment="1">
      <alignment horizontal="center"/>
    </xf>
    <xf numFmtId="167" fontId="6" fillId="15" borderId="0" xfId="0" applyNumberFormat="1" applyFont="1" applyFill="1"/>
    <xf numFmtId="168" fontId="6" fillId="15" borderId="0" xfId="0" applyNumberFormat="1" applyFont="1" applyFill="1" applyAlignment="1">
      <alignment horizontal="center"/>
    </xf>
    <xf numFmtId="1" fontId="6" fillId="15" borderId="0" xfId="0" applyNumberFormat="1" applyFont="1" applyFill="1" applyAlignment="1">
      <alignment horizontal="center"/>
    </xf>
    <xf numFmtId="0" fontId="41" fillId="17" borderId="12" xfId="0" applyFont="1" applyFill="1" applyBorder="1" applyAlignment="1">
      <alignment vertical="center"/>
    </xf>
    <xf numFmtId="0" fontId="41" fillId="17" borderId="0" xfId="0" applyFont="1" applyFill="1" applyAlignment="1">
      <alignment vertical="center"/>
    </xf>
    <xf numFmtId="0" fontId="24" fillId="16" borderId="0" xfId="0" applyFont="1" applyFill="1" applyAlignment="1">
      <alignment horizontal="center" vertical="center"/>
    </xf>
    <xf numFmtId="0" fontId="24" fillId="18" borderId="0" xfId="0" applyFont="1" applyFill="1" applyAlignment="1">
      <alignment horizontal="center" vertical="center"/>
    </xf>
    <xf numFmtId="0" fontId="6" fillId="16" borderId="0" xfId="0" applyFont="1" applyFill="1" applyAlignment="1">
      <alignment horizontal="center" vertical="center"/>
    </xf>
    <xf numFmtId="0" fontId="6" fillId="18" borderId="0" xfId="0" applyFont="1" applyFill="1" applyAlignment="1">
      <alignment horizontal="center" vertical="center"/>
    </xf>
    <xf numFmtId="0" fontId="24" fillId="16" borderId="0" xfId="0" applyFont="1" applyFill="1" applyAlignment="1">
      <alignment horizontal="center" vertical="center" wrapText="1"/>
    </xf>
    <xf numFmtId="0" fontId="24" fillId="18" borderId="0" xfId="0" applyFont="1" applyFill="1" applyAlignment="1">
      <alignment horizontal="center" vertical="center" wrapText="1"/>
    </xf>
    <xf numFmtId="170" fontId="6" fillId="18" borderId="0" xfId="0" applyNumberFormat="1" applyFont="1" applyFill="1" applyAlignment="1">
      <alignment horizontal="center" vertical="center"/>
    </xf>
    <xf numFmtId="171" fontId="6" fillId="16" borderId="0" xfId="0" applyNumberFormat="1" applyFont="1" applyFill="1" applyAlignment="1">
      <alignment horizontal="center" vertical="center"/>
    </xf>
    <xf numFmtId="0" fontId="22" fillId="0" borderId="0" xfId="0" applyFont="1" applyAlignment="1">
      <alignment vertical="center"/>
    </xf>
    <xf numFmtId="170" fontId="6" fillId="16" borderId="0" xfId="0" applyNumberFormat="1" applyFont="1" applyFill="1" applyAlignment="1">
      <alignment horizontal="center" vertical="center"/>
    </xf>
    <xf numFmtId="0" fontId="43" fillId="2" borderId="0" xfId="0" applyFont="1" applyFill="1" applyAlignment="1">
      <alignment horizontal="center"/>
    </xf>
    <xf numFmtId="49" fontId="6" fillId="0" borderId="0" xfId="0" applyNumberFormat="1" applyFont="1" applyAlignment="1">
      <alignment horizontal="center"/>
    </xf>
    <xf numFmtId="0" fontId="6" fillId="20" borderId="0" xfId="0" applyFont="1" applyFill="1" applyAlignment="1">
      <alignment horizontal="center"/>
    </xf>
    <xf numFmtId="0" fontId="1" fillId="21" borderId="13" xfId="0" applyFont="1" applyFill="1" applyBorder="1"/>
    <xf numFmtId="0" fontId="18" fillId="21" borderId="13" xfId="0" applyFont="1" applyFill="1" applyBorder="1"/>
    <xf numFmtId="0" fontId="45" fillId="21" borderId="13" xfId="0" applyFont="1" applyFill="1" applyBorder="1"/>
    <xf numFmtId="0" fontId="1" fillId="22" borderId="13" xfId="0" applyFont="1" applyFill="1" applyBorder="1"/>
    <xf numFmtId="0" fontId="18" fillId="22" borderId="13" xfId="0" applyFont="1" applyFill="1" applyBorder="1"/>
    <xf numFmtId="0" fontId="45" fillId="22" borderId="13" xfId="0" applyFont="1" applyFill="1" applyBorder="1"/>
    <xf numFmtId="0" fontId="1" fillId="22" borderId="16" xfId="0" applyFont="1" applyFill="1" applyBorder="1"/>
    <xf numFmtId="0" fontId="3" fillId="21" borderId="13" xfId="0" applyFont="1" applyFill="1" applyBorder="1" applyAlignment="1">
      <alignment horizontal="center" vertical="center"/>
    </xf>
    <xf numFmtId="0" fontId="3" fillId="22" borderId="13" xfId="0" applyFont="1" applyFill="1" applyBorder="1" applyAlignment="1">
      <alignment horizontal="center" vertical="center"/>
    </xf>
    <xf numFmtId="0" fontId="36" fillId="23" borderId="18" xfId="0" applyFont="1" applyFill="1" applyBorder="1" applyAlignment="1">
      <alignment horizontal="center" vertical="center" wrapText="1"/>
    </xf>
    <xf numFmtId="167" fontId="36" fillId="23" borderId="19" xfId="0" applyNumberFormat="1" applyFont="1" applyFill="1" applyBorder="1" applyAlignment="1">
      <alignment horizontal="center" vertical="center" wrapText="1"/>
    </xf>
    <xf numFmtId="0" fontId="36" fillId="19" borderId="19" xfId="0" applyFont="1" applyFill="1" applyBorder="1" applyAlignment="1">
      <alignment horizontal="center" vertical="center" wrapText="1"/>
    </xf>
    <xf numFmtId="167" fontId="36" fillId="19" borderId="19" xfId="0" applyNumberFormat="1" applyFont="1" applyFill="1" applyBorder="1" applyAlignment="1">
      <alignment horizontal="center" vertical="center" wrapText="1"/>
    </xf>
    <xf numFmtId="0" fontId="36" fillId="23" borderId="19" xfId="0" applyFont="1" applyFill="1" applyBorder="1" applyAlignment="1">
      <alignment horizontal="center" vertical="center" wrapText="1"/>
    </xf>
    <xf numFmtId="0" fontId="36" fillId="19" borderId="20" xfId="0" applyFont="1" applyFill="1" applyBorder="1" applyAlignment="1">
      <alignment horizontal="center" vertical="center" wrapText="1"/>
    </xf>
    <xf numFmtId="167" fontId="36" fillId="19" borderId="21" xfId="0" applyNumberFormat="1" applyFont="1" applyFill="1" applyBorder="1" applyAlignment="1">
      <alignment horizontal="center" vertical="center" wrapText="1"/>
    </xf>
    <xf numFmtId="0" fontId="3" fillId="22" borderId="22" xfId="0" applyFont="1" applyFill="1" applyBorder="1" applyAlignment="1">
      <alignment horizontal="center" vertical="center"/>
    </xf>
    <xf numFmtId="0" fontId="36" fillId="19" borderId="23" xfId="0" applyFont="1" applyFill="1" applyBorder="1" applyAlignment="1">
      <alignment horizontal="center" vertical="center" wrapText="1"/>
    </xf>
    <xf numFmtId="0" fontId="36" fillId="19" borderId="24" xfId="0" applyFont="1" applyFill="1" applyBorder="1" applyAlignment="1">
      <alignment horizontal="center" vertical="center" wrapText="1"/>
    </xf>
    <xf numFmtId="0" fontId="47" fillId="23" borderId="24" xfId="0" applyFont="1" applyFill="1" applyBorder="1" applyAlignment="1">
      <alignment horizontal="center" vertical="center" wrapText="1"/>
    </xf>
    <xf numFmtId="0" fontId="36" fillId="23" borderId="24" xfId="0" applyFont="1" applyFill="1" applyBorder="1" applyAlignment="1">
      <alignment horizontal="center" vertical="center" wrapText="1"/>
    </xf>
    <xf numFmtId="0" fontId="47" fillId="19" borderId="24" xfId="0" applyFont="1" applyFill="1" applyBorder="1" applyAlignment="1">
      <alignment horizontal="center" vertical="center" wrapText="1"/>
    </xf>
    <xf numFmtId="167" fontId="36" fillId="23" borderId="25" xfId="0" applyNumberFormat="1" applyFont="1" applyFill="1" applyBorder="1" applyAlignment="1">
      <alignment horizontal="center" vertical="center" wrapText="1"/>
    </xf>
    <xf numFmtId="0" fontId="36" fillId="24" borderId="26" xfId="0" applyFont="1" applyFill="1" applyBorder="1" applyAlignment="1">
      <alignment horizontal="center" vertical="center" wrapText="1"/>
    </xf>
    <xf numFmtId="2" fontId="36" fillId="24" borderId="27" xfId="0" applyNumberFormat="1" applyFont="1" applyFill="1" applyBorder="1" applyAlignment="1">
      <alignment horizontal="center" vertical="center" wrapText="1"/>
    </xf>
    <xf numFmtId="0" fontId="47" fillId="23" borderId="27" xfId="0" applyFont="1" applyFill="1" applyBorder="1" applyAlignment="1">
      <alignment horizontal="center" vertical="center" wrapText="1"/>
    </xf>
    <xf numFmtId="0" fontId="36" fillId="23" borderId="27" xfId="0" applyFont="1" applyFill="1" applyBorder="1" applyAlignment="1">
      <alignment horizontal="center" vertical="center" wrapText="1"/>
    </xf>
    <xf numFmtId="0" fontId="36" fillId="24" borderId="27" xfId="0" applyFont="1" applyFill="1" applyBorder="1" applyAlignment="1">
      <alignment horizontal="center" vertical="center" wrapText="1"/>
    </xf>
    <xf numFmtId="1" fontId="36" fillId="24" borderId="27" xfId="0" applyNumberFormat="1" applyFont="1" applyFill="1" applyBorder="1" applyAlignment="1">
      <alignment horizontal="center" vertical="center" wrapText="1"/>
    </xf>
    <xf numFmtId="0" fontId="36" fillId="23" borderId="28" xfId="0" applyFont="1" applyFill="1" applyBorder="1" applyAlignment="1">
      <alignment horizontal="center" vertical="center" wrapText="1"/>
    </xf>
    <xf numFmtId="167" fontId="36" fillId="23" borderId="29" xfId="0" applyNumberFormat="1" applyFont="1" applyFill="1" applyBorder="1" applyAlignment="1">
      <alignment horizontal="center" vertical="center" wrapText="1"/>
    </xf>
    <xf numFmtId="0" fontId="48" fillId="21" borderId="13" xfId="0" applyFont="1" applyFill="1" applyBorder="1" applyAlignment="1">
      <alignment horizontal="center" vertical="center" wrapText="1"/>
    </xf>
    <xf numFmtId="0" fontId="48" fillId="22" borderId="13" xfId="0" applyFont="1" applyFill="1" applyBorder="1" applyAlignment="1">
      <alignment horizontal="center" vertical="center" wrapText="1"/>
    </xf>
    <xf numFmtId="49" fontId="49" fillId="2" borderId="30" xfId="0" applyNumberFormat="1" applyFont="1" applyFill="1" applyBorder="1" applyAlignment="1">
      <alignment horizontal="center" wrapText="1"/>
    </xf>
    <xf numFmtId="49" fontId="50" fillId="2" borderId="30" xfId="0" applyNumberFormat="1" applyFont="1" applyFill="1" applyBorder="1" applyAlignment="1">
      <alignment horizontal="center" vertical="center" wrapText="1"/>
    </xf>
    <xf numFmtId="49" fontId="48" fillId="2" borderId="30" xfId="0" applyNumberFormat="1" applyFont="1" applyFill="1" applyBorder="1" applyAlignment="1">
      <alignment horizontal="center" vertical="center" wrapText="1"/>
    </xf>
    <xf numFmtId="0" fontId="48" fillId="22" borderId="22" xfId="0" applyFont="1" applyFill="1" applyBorder="1" applyAlignment="1">
      <alignment horizontal="center" vertical="center" wrapText="1"/>
    </xf>
    <xf numFmtId="49" fontId="50" fillId="21" borderId="31" xfId="0" applyNumberFormat="1" applyFont="1" applyFill="1" applyBorder="1" applyAlignment="1">
      <alignment horizontal="center" vertical="center" wrapText="1"/>
    </xf>
    <xf numFmtId="9" fontId="51" fillId="25" borderId="24" xfId="0" applyNumberFormat="1" applyFont="1" applyFill="1" applyBorder="1" applyAlignment="1">
      <alignment horizontal="center" vertical="center"/>
    </xf>
    <xf numFmtId="1" fontId="51" fillId="25" borderId="24" xfId="0" applyNumberFormat="1" applyFont="1" applyFill="1" applyBorder="1" applyAlignment="1">
      <alignment horizontal="center" vertical="center"/>
    </xf>
    <xf numFmtId="167" fontId="51" fillId="25" borderId="24" xfId="0" applyNumberFormat="1" applyFont="1" applyFill="1" applyBorder="1" applyAlignment="1">
      <alignment horizontal="center" vertical="center"/>
    </xf>
    <xf numFmtId="49" fontId="51" fillId="25" borderId="24" xfId="0" applyNumberFormat="1" applyFont="1" applyFill="1" applyBorder="1" applyAlignment="1">
      <alignment horizontal="center" vertical="center"/>
    </xf>
    <xf numFmtId="0" fontId="3" fillId="21" borderId="13" xfId="0" applyFont="1" applyFill="1" applyBorder="1"/>
    <xf numFmtId="0" fontId="3" fillId="22" borderId="13" xfId="0" applyFont="1" applyFill="1" applyBorder="1"/>
    <xf numFmtId="9" fontId="51" fillId="26" borderId="24" xfId="0" applyNumberFormat="1" applyFont="1" applyFill="1" applyBorder="1" applyAlignment="1">
      <alignment horizontal="center" vertical="center"/>
    </xf>
    <xf numFmtId="1" fontId="51" fillId="26" borderId="24" xfId="0" applyNumberFormat="1" applyFont="1" applyFill="1" applyBorder="1" applyAlignment="1">
      <alignment horizontal="center" vertical="center"/>
    </xf>
    <xf numFmtId="167" fontId="51" fillId="26" borderId="24" xfId="0" applyNumberFormat="1" applyFont="1" applyFill="1" applyBorder="1" applyAlignment="1">
      <alignment horizontal="center" vertical="center"/>
    </xf>
    <xf numFmtId="49" fontId="51" fillId="26" borderId="24" xfId="0" applyNumberFormat="1" applyFont="1" applyFill="1" applyBorder="1" applyAlignment="1">
      <alignment horizontal="center" vertical="center"/>
    </xf>
    <xf numFmtId="0" fontId="3" fillId="22" borderId="16" xfId="0" applyFont="1" applyFill="1" applyBorder="1"/>
    <xf numFmtId="9" fontId="51" fillId="6" borderId="24" xfId="0" applyNumberFormat="1" applyFont="1" applyFill="1" applyBorder="1" applyAlignment="1">
      <alignment horizontal="center" vertical="center"/>
    </xf>
    <xf numFmtId="1" fontId="51" fillId="6" borderId="24" xfId="0" applyNumberFormat="1" applyFont="1" applyFill="1" applyBorder="1" applyAlignment="1">
      <alignment horizontal="center" vertical="center"/>
    </xf>
    <xf numFmtId="167" fontId="51" fillId="6" borderId="24" xfId="0" applyNumberFormat="1" applyFont="1" applyFill="1" applyBorder="1" applyAlignment="1">
      <alignment horizontal="center" vertical="center"/>
    </xf>
    <xf numFmtId="49" fontId="51" fillId="6" borderId="24" xfId="0" applyNumberFormat="1" applyFont="1" applyFill="1" applyBorder="1" applyAlignment="1">
      <alignment horizontal="center" vertical="center"/>
    </xf>
    <xf numFmtId="9" fontId="51" fillId="27" borderId="24" xfId="0" applyNumberFormat="1" applyFont="1" applyFill="1" applyBorder="1" applyAlignment="1">
      <alignment horizontal="center" vertical="center"/>
    </xf>
    <xf numFmtId="1" fontId="51" fillId="27" borderId="24" xfId="0" applyNumberFormat="1" applyFont="1" applyFill="1" applyBorder="1" applyAlignment="1">
      <alignment horizontal="center" vertical="center"/>
    </xf>
    <xf numFmtId="167" fontId="51" fillId="27" borderId="24" xfId="0" applyNumberFormat="1" applyFont="1" applyFill="1" applyBorder="1" applyAlignment="1">
      <alignment horizontal="center" vertical="center"/>
    </xf>
    <xf numFmtId="49" fontId="51" fillId="27" borderId="24" xfId="0" applyNumberFormat="1" applyFont="1" applyFill="1" applyBorder="1" applyAlignment="1">
      <alignment horizontal="center" vertical="center"/>
    </xf>
    <xf numFmtId="9" fontId="51" fillId="28" borderId="24" xfId="0" applyNumberFormat="1" applyFont="1" applyFill="1" applyBorder="1" applyAlignment="1">
      <alignment horizontal="center" vertical="center"/>
    </xf>
    <xf numFmtId="1" fontId="51" fillId="28" borderId="24" xfId="0" applyNumberFormat="1" applyFont="1" applyFill="1" applyBorder="1" applyAlignment="1">
      <alignment horizontal="center" vertical="center"/>
    </xf>
    <xf numFmtId="167" fontId="51" fillId="28" borderId="24" xfId="0" applyNumberFormat="1" applyFont="1" applyFill="1" applyBorder="1" applyAlignment="1">
      <alignment horizontal="center" vertical="center"/>
    </xf>
    <xf numFmtId="49" fontId="51" fillId="28" borderId="24" xfId="0" applyNumberFormat="1" applyFont="1" applyFill="1" applyBorder="1" applyAlignment="1">
      <alignment horizontal="center" vertical="center"/>
    </xf>
    <xf numFmtId="9" fontId="51" fillId="29" borderId="24" xfId="0" applyNumberFormat="1" applyFont="1" applyFill="1" applyBorder="1" applyAlignment="1">
      <alignment horizontal="center" vertical="center"/>
    </xf>
    <xf numFmtId="1" fontId="51" fillId="29" borderId="24" xfId="0" applyNumberFormat="1" applyFont="1" applyFill="1" applyBorder="1" applyAlignment="1">
      <alignment horizontal="center" vertical="center"/>
    </xf>
    <xf numFmtId="167" fontId="51" fillId="29" borderId="24" xfId="0" applyNumberFormat="1" applyFont="1" applyFill="1" applyBorder="1" applyAlignment="1">
      <alignment horizontal="center" vertical="center"/>
    </xf>
    <xf numFmtId="49" fontId="51" fillId="29" borderId="24" xfId="0" applyNumberFormat="1" applyFont="1" applyFill="1" applyBorder="1" applyAlignment="1">
      <alignment horizontal="center" vertical="center"/>
    </xf>
    <xf numFmtId="49" fontId="45" fillId="2" borderId="16" xfId="0" applyNumberFormat="1" applyFont="1" applyFill="1" applyBorder="1"/>
    <xf numFmtId="49" fontId="45" fillId="2" borderId="32" xfId="0" applyNumberFormat="1" applyFont="1" applyFill="1" applyBorder="1"/>
    <xf numFmtId="49" fontId="45" fillId="2" borderId="33" xfId="0" applyNumberFormat="1" applyFont="1" applyFill="1" applyBorder="1"/>
    <xf numFmtId="49" fontId="45" fillId="2" borderId="34" xfId="0" applyNumberFormat="1" applyFont="1" applyFill="1" applyBorder="1"/>
    <xf numFmtId="0" fontId="1" fillId="21" borderId="24" xfId="0" applyFont="1" applyFill="1" applyBorder="1"/>
    <xf numFmtId="0" fontId="18" fillId="21" borderId="24" xfId="0" applyFont="1" applyFill="1" applyBorder="1"/>
    <xf numFmtId="0" fontId="45" fillId="21" borderId="24" xfId="0" applyFont="1" applyFill="1" applyBorder="1"/>
    <xf numFmtId="0" fontId="24" fillId="0" borderId="0" xfId="0" applyFont="1" applyAlignment="1">
      <alignment horizontal="center" vertical="center"/>
    </xf>
    <xf numFmtId="0" fontId="6" fillId="30" borderId="0" xfId="0" applyFont="1" applyFill="1" applyAlignment="1">
      <alignment horizontal="center" vertical="center"/>
    </xf>
    <xf numFmtId="0" fontId="6" fillId="20" borderId="0" xfId="0" applyFont="1" applyFill="1" applyAlignment="1">
      <alignment horizontal="center" vertical="center"/>
    </xf>
    <xf numFmtId="1" fontId="6" fillId="0" borderId="0" xfId="0" applyNumberFormat="1" applyFont="1" applyAlignment="1">
      <alignment horizontal="center" vertical="center"/>
    </xf>
    <xf numFmtId="1" fontId="6" fillId="0" borderId="0" xfId="0" applyNumberFormat="1" applyFont="1" applyAlignment="1">
      <alignment horizontal="left"/>
    </xf>
    <xf numFmtId="0" fontId="52" fillId="0" borderId="0" xfId="0" applyFont="1"/>
    <xf numFmtId="0" fontId="53" fillId="0" borderId="0" xfId="0" applyFont="1" applyAlignment="1">
      <alignment horizontal="center"/>
    </xf>
    <xf numFmtId="2" fontId="53" fillId="0" borderId="0" xfId="0" applyNumberFormat="1" applyFont="1" applyAlignment="1">
      <alignment horizontal="center"/>
    </xf>
    <xf numFmtId="2" fontId="52" fillId="0" borderId="0" xfId="0" applyNumberFormat="1" applyFont="1" applyAlignment="1">
      <alignment horizontal="center"/>
    </xf>
    <xf numFmtId="1" fontId="52" fillId="0" borderId="0" xfId="0" applyNumberFormat="1" applyFont="1" applyAlignment="1">
      <alignment horizontal="center"/>
    </xf>
    <xf numFmtId="0" fontId="53" fillId="0" borderId="0" xfId="0" applyFont="1"/>
    <xf numFmtId="1" fontId="53" fillId="0" borderId="0" xfId="0" applyNumberFormat="1" applyFont="1" applyAlignment="1">
      <alignment horizontal="center"/>
    </xf>
    <xf numFmtId="0" fontId="54" fillId="16" borderId="0" xfId="0" applyFont="1" applyFill="1" applyAlignment="1">
      <alignment horizontal="center" vertical="center" wrapText="1"/>
    </xf>
    <xf numFmtId="0" fontId="54" fillId="16" borderId="0" xfId="0" applyFont="1" applyFill="1" applyAlignment="1">
      <alignment horizontal="center" vertical="center"/>
    </xf>
    <xf numFmtId="0" fontId="53" fillId="16" borderId="0" xfId="0" applyFont="1" applyFill="1" applyAlignment="1">
      <alignment horizontal="center" vertical="center"/>
    </xf>
    <xf numFmtId="0" fontId="54" fillId="18" borderId="0" xfId="0" applyFont="1" applyFill="1" applyAlignment="1">
      <alignment horizontal="center" vertical="center"/>
    </xf>
    <xf numFmtId="0" fontId="53" fillId="18" borderId="0" xfId="0" applyFont="1" applyFill="1" applyAlignment="1">
      <alignment horizontal="center" vertical="center"/>
    </xf>
    <xf numFmtId="1" fontId="53" fillId="0" borderId="0" xfId="0" applyNumberFormat="1" applyFont="1"/>
    <xf numFmtId="0" fontId="52" fillId="0" borderId="0" xfId="0" applyFont="1" applyAlignment="1">
      <alignment horizontal="center"/>
    </xf>
    <xf numFmtId="49" fontId="6" fillId="0" borderId="0" xfId="0" applyNumberFormat="1" applyFont="1"/>
    <xf numFmtId="21" fontId="6" fillId="0" borderId="0" xfId="0" applyNumberFormat="1" applyFont="1" applyAlignment="1">
      <alignment horizontal="center"/>
    </xf>
    <xf numFmtId="0" fontId="24" fillId="0" borderId="0" xfId="0" applyFont="1" applyAlignment="1">
      <alignment horizontal="center"/>
    </xf>
    <xf numFmtId="0" fontId="6" fillId="3" borderId="0" xfId="0" applyFont="1" applyFill="1"/>
    <xf numFmtId="0" fontId="6" fillId="31" borderId="0" xfId="0" applyFont="1" applyFill="1" applyAlignment="1">
      <alignment horizontal="center"/>
    </xf>
    <xf numFmtId="0" fontId="6" fillId="3" borderId="0" xfId="0" applyFont="1" applyFill="1" applyAlignment="1">
      <alignment horizontal="center"/>
    </xf>
    <xf numFmtId="172" fontId="24" fillId="31" borderId="0" xfId="0" applyNumberFormat="1" applyFont="1" applyFill="1" applyAlignment="1">
      <alignment horizontal="center"/>
    </xf>
    <xf numFmtId="172" fontId="24" fillId="3" borderId="0" xfId="0" applyNumberFormat="1" applyFont="1" applyFill="1" applyAlignment="1">
      <alignment horizontal="center"/>
    </xf>
    <xf numFmtId="172" fontId="24" fillId="20" borderId="0" xfId="0" applyNumberFormat="1" applyFont="1" applyFill="1" applyAlignment="1">
      <alignment horizontal="center"/>
    </xf>
    <xf numFmtId="172" fontId="24" fillId="0" borderId="0" xfId="0" applyNumberFormat="1" applyFont="1" applyAlignment="1">
      <alignment horizontal="center"/>
    </xf>
    <xf numFmtId="0" fontId="55" fillId="0" borderId="0" xfId="0" applyFont="1"/>
    <xf numFmtId="0" fontId="26" fillId="0" borderId="0" xfId="0" applyFont="1" applyAlignment="1">
      <alignment horizontal="center"/>
    </xf>
    <xf numFmtId="0" fontId="55" fillId="31" borderId="0" xfId="0" applyFont="1" applyFill="1"/>
    <xf numFmtId="0" fontId="55" fillId="15" borderId="0" xfId="0" applyFont="1" applyFill="1"/>
    <xf numFmtId="167" fontId="55" fillId="15" borderId="0" xfId="0" applyNumberFormat="1" applyFont="1" applyFill="1"/>
    <xf numFmtId="14" fontId="55" fillId="15" borderId="0" xfId="0" applyNumberFormat="1" applyFont="1" applyFill="1"/>
    <xf numFmtId="0" fontId="55" fillId="32" borderId="0" xfId="0" applyFont="1" applyFill="1"/>
    <xf numFmtId="14" fontId="55" fillId="31" borderId="0" xfId="0" applyNumberFormat="1" applyFont="1" applyFill="1"/>
    <xf numFmtId="2" fontId="55" fillId="15" borderId="0" xfId="0" applyNumberFormat="1" applyFont="1" applyFill="1"/>
    <xf numFmtId="0" fontId="6" fillId="33" borderId="0" xfId="0" applyFont="1" applyFill="1"/>
    <xf numFmtId="164" fontId="55" fillId="31" borderId="0" xfId="0" applyNumberFormat="1" applyFont="1" applyFill="1"/>
    <xf numFmtId="165" fontId="55" fillId="31" borderId="0" xfId="0" applyNumberFormat="1" applyFont="1" applyFill="1"/>
    <xf numFmtId="1" fontId="55" fillId="15" borderId="0" xfId="0" applyNumberFormat="1" applyFont="1" applyFill="1"/>
    <xf numFmtId="14" fontId="55" fillId="33" borderId="0" xfId="0" applyNumberFormat="1" applyFont="1" applyFill="1"/>
    <xf numFmtId="2" fontId="55" fillId="33" borderId="0" xfId="0" applyNumberFormat="1" applyFont="1" applyFill="1"/>
    <xf numFmtId="0" fontId="55" fillId="5" borderId="0" xfId="0" applyFont="1" applyFill="1"/>
    <xf numFmtId="0" fontId="6" fillId="5" borderId="0" xfId="0" applyFont="1" applyFill="1"/>
    <xf numFmtId="0" fontId="1" fillId="2" borderId="0" xfId="0" applyFont="1" applyFill="1" applyAlignment="1">
      <alignment horizontal="center"/>
    </xf>
    <xf numFmtId="0" fontId="0" fillId="0" borderId="0" xfId="0"/>
    <xf numFmtId="0" fontId="2" fillId="0" borderId="0" xfId="0" applyFont="1" applyAlignment="1">
      <alignment horizontal="center"/>
    </xf>
    <xf numFmtId="0" fontId="1" fillId="0" borderId="0" xfId="0" applyFont="1" applyAlignment="1">
      <alignment horizontal="center"/>
    </xf>
    <xf numFmtId="0" fontId="9" fillId="3" borderId="0" xfId="0" applyFont="1" applyFill="1" applyAlignment="1">
      <alignment horizontal="left" vertical="center"/>
    </xf>
    <xf numFmtId="0" fontId="8" fillId="0" borderId="0" xfId="0" applyFont="1" applyAlignment="1">
      <alignment horizontal="center" vertical="center"/>
    </xf>
    <xf numFmtId="0" fontId="9" fillId="3" borderId="0" xfId="0" applyFont="1" applyFill="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right" vertical="center" wrapText="1"/>
    </xf>
    <xf numFmtId="0" fontId="10" fillId="0" borderId="0" xfId="0" applyFont="1" applyAlignment="1">
      <alignment vertical="center" wrapText="1"/>
    </xf>
    <xf numFmtId="0" fontId="16" fillId="0" borderId="0" xfId="0" applyFont="1" applyAlignment="1">
      <alignment wrapText="1"/>
    </xf>
    <xf numFmtId="0" fontId="10" fillId="0" borderId="0" xfId="0" applyFont="1" applyAlignment="1">
      <alignment wrapText="1"/>
    </xf>
    <xf numFmtId="0" fontId="19" fillId="0" borderId="0" xfId="0" applyFont="1"/>
    <xf numFmtId="0" fontId="20" fillId="0" borderId="0" xfId="0" applyFont="1" applyAlignment="1">
      <alignment wrapText="1"/>
    </xf>
    <xf numFmtId="0" fontId="6" fillId="0" borderId="0" xfId="0" applyFont="1"/>
    <xf numFmtId="0" fontId="10" fillId="4" borderId="0" xfId="0" applyFont="1" applyFill="1" applyAlignment="1">
      <alignment vertical="center" wrapText="1"/>
    </xf>
    <xf numFmtId="0" fontId="10" fillId="0" borderId="0" xfId="0" applyFont="1"/>
    <xf numFmtId="0" fontId="1" fillId="2" borderId="0" xfId="0" applyFont="1" applyFill="1"/>
    <xf numFmtId="0" fontId="18" fillId="0" borderId="0" xfId="0" applyFont="1"/>
    <xf numFmtId="0" fontId="18" fillId="4" borderId="0" xfId="0" applyFont="1" applyFill="1" applyAlignment="1">
      <alignment vertical="top"/>
    </xf>
    <xf numFmtId="0" fontId="5" fillId="0" borderId="0" xfId="0" applyFont="1" applyAlignment="1">
      <alignment horizontal="center" vertical="center" wrapText="1"/>
    </xf>
    <xf numFmtId="0" fontId="2" fillId="3" borderId="0" xfId="0" applyFont="1" applyFill="1" applyAlignment="1">
      <alignment horizontal="center" vertical="center"/>
    </xf>
    <xf numFmtId="167" fontId="6" fillId="0" borderId="0" xfId="0" applyNumberFormat="1" applyFont="1" applyAlignment="1">
      <alignment horizontal="center" vertical="center" wrapText="1"/>
    </xf>
    <xf numFmtId="167" fontId="6" fillId="0" borderId="2" xfId="0" applyNumberFormat="1" applyFont="1" applyBorder="1" applyAlignment="1">
      <alignment horizontal="center" vertical="center" wrapText="1"/>
    </xf>
    <xf numFmtId="0" fontId="23" fillId="0" borderId="2" xfId="0" applyFont="1" applyBorder="1"/>
    <xf numFmtId="167" fontId="6" fillId="0" borderId="1" xfId="0" applyNumberFormat="1" applyFont="1" applyBorder="1" applyAlignment="1">
      <alignment horizontal="center" vertical="center" wrapText="1"/>
    </xf>
    <xf numFmtId="0" fontId="23" fillId="0" borderId="1" xfId="0" applyFont="1" applyBorder="1"/>
    <xf numFmtId="169" fontId="6" fillId="0" borderId="2" xfId="0" applyNumberFormat="1" applyFont="1" applyBorder="1" applyAlignment="1">
      <alignment horizontal="center" vertical="center" wrapText="1"/>
    </xf>
    <xf numFmtId="0" fontId="5" fillId="0" borderId="0" xfId="0" applyFont="1" applyAlignment="1">
      <alignment horizontal="center" vertical="center"/>
    </xf>
    <xf numFmtId="169" fontId="2" fillId="3" borderId="0" xfId="0" applyNumberFormat="1" applyFont="1" applyFill="1" applyAlignment="1">
      <alignment horizontal="center" vertical="center"/>
    </xf>
    <xf numFmtId="0" fontId="26" fillId="0" borderId="3" xfId="0" applyFont="1" applyBorder="1" applyAlignment="1">
      <alignment horizontal="center" vertical="center" wrapText="1"/>
    </xf>
    <xf numFmtId="0" fontId="23" fillId="0" borderId="3" xfId="0" applyFont="1" applyBorder="1"/>
    <xf numFmtId="0" fontId="26" fillId="0" borderId="3" xfId="0" applyFont="1" applyBorder="1" applyAlignment="1">
      <alignment vertical="center" wrapText="1"/>
    </xf>
    <xf numFmtId="0" fontId="24" fillId="0" borderId="3" xfId="0" applyFont="1" applyBorder="1" applyAlignment="1">
      <alignment horizontal="center" vertical="center" wrapText="1"/>
    </xf>
    <xf numFmtId="0" fontId="26" fillId="0" borderId="0" xfId="0" applyFont="1" applyAlignment="1">
      <alignment vertical="center"/>
    </xf>
    <xf numFmtId="0" fontId="26" fillId="0" borderId="0" xfId="0" applyFont="1" applyAlignment="1">
      <alignment vertical="center" wrapText="1"/>
    </xf>
    <xf numFmtId="1" fontId="2" fillId="0" borderId="0" xfId="0" applyNumberFormat="1" applyFont="1" applyAlignment="1">
      <alignment horizontal="center" vertical="center"/>
    </xf>
    <xf numFmtId="1" fontId="2" fillId="0" borderId="2" xfId="0" applyNumberFormat="1"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6" fillId="0" borderId="2" xfId="0" applyFont="1" applyBorder="1" applyAlignment="1">
      <alignment vertical="center" wrapText="1"/>
    </xf>
    <xf numFmtId="0" fontId="26" fillId="0" borderId="1" xfId="0" applyFont="1" applyBorder="1" applyAlignment="1">
      <alignment vertical="center" wrapText="1"/>
    </xf>
    <xf numFmtId="169" fontId="2" fillId="3" borderId="2" xfId="0" applyNumberFormat="1" applyFont="1" applyFill="1" applyBorder="1" applyAlignment="1">
      <alignment horizontal="center" vertical="center"/>
    </xf>
    <xf numFmtId="0" fontId="2" fillId="0" borderId="0" xfId="0" applyFont="1" applyAlignment="1">
      <alignment horizontal="left" vertical="center"/>
    </xf>
    <xf numFmtId="0" fontId="2" fillId="3" borderId="2" xfId="0" applyFont="1" applyFill="1" applyBorder="1" applyAlignment="1">
      <alignment horizontal="center" vertical="center"/>
    </xf>
    <xf numFmtId="0" fontId="24" fillId="0" borderId="0" xfId="0" applyFont="1" applyAlignment="1">
      <alignment vertical="center"/>
    </xf>
    <xf numFmtId="0" fontId="24" fillId="0" borderId="0" xfId="0" applyFont="1" applyAlignment="1">
      <alignment vertical="center" wrapText="1"/>
    </xf>
    <xf numFmtId="0" fontId="6" fillId="0" borderId="0" xfId="0" applyFont="1" applyAlignment="1">
      <alignment horizontal="center" vertical="center" wrapText="1"/>
    </xf>
    <xf numFmtId="0" fontId="24" fillId="0" borderId="2" xfId="0" applyFont="1" applyBorder="1" applyAlignment="1">
      <alignment vertical="center" wrapText="1"/>
    </xf>
    <xf numFmtId="0" fontId="6" fillId="0" borderId="2" xfId="0" applyFont="1" applyBorder="1" applyAlignment="1">
      <alignment horizontal="center" vertical="center" wrapText="1"/>
    </xf>
    <xf numFmtId="0" fontId="24" fillId="0" borderId="3" xfId="0" applyFont="1" applyBorder="1" applyAlignment="1">
      <alignment vertical="center"/>
    </xf>
    <xf numFmtId="0" fontId="24" fillId="0" borderId="3" xfId="0" applyFont="1" applyBorder="1" applyAlignment="1">
      <alignment horizontal="center" vertical="center"/>
    </xf>
    <xf numFmtId="0" fontId="6" fillId="3" borderId="0" xfId="0" applyFont="1" applyFill="1" applyAlignment="1">
      <alignment vertical="center" wrapText="1"/>
    </xf>
    <xf numFmtId="167" fontId="6" fillId="3" borderId="0" xfId="0" applyNumberFormat="1" applyFont="1" applyFill="1" applyAlignment="1">
      <alignment horizontal="center" vertical="center" wrapText="1"/>
    </xf>
    <xf numFmtId="166" fontId="6" fillId="3" borderId="0" xfId="0" applyNumberFormat="1" applyFont="1" applyFill="1" applyAlignment="1">
      <alignment horizontal="center" vertical="center" wrapText="1"/>
    </xf>
    <xf numFmtId="0" fontId="6" fillId="0" borderId="3" xfId="0" applyFont="1" applyBorder="1" applyAlignment="1">
      <alignment vertical="center" wrapText="1"/>
    </xf>
    <xf numFmtId="167" fontId="6" fillId="0" borderId="3"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24" fillId="0" borderId="3" xfId="0" applyFont="1" applyBorder="1" applyAlignment="1">
      <alignment vertical="center" wrapText="1"/>
    </xf>
    <xf numFmtId="0" fontId="6" fillId="0" borderId="0" xfId="0" applyFont="1" applyAlignment="1">
      <alignment vertical="center" wrapText="1"/>
    </xf>
    <xf numFmtId="0" fontId="24" fillId="0" borderId="1" xfId="0" applyFont="1" applyBorder="1" applyAlignment="1">
      <alignment vertical="center" wrapText="1"/>
    </xf>
    <xf numFmtId="167" fontId="6" fillId="0" borderId="1" xfId="0" applyNumberFormat="1" applyFont="1" applyBorder="1" applyAlignment="1">
      <alignment horizontal="center" vertical="center"/>
    </xf>
    <xf numFmtId="169" fontId="6" fillId="0" borderId="0" xfId="0" applyNumberFormat="1" applyFont="1" applyAlignment="1">
      <alignment horizontal="center" vertical="center"/>
    </xf>
    <xf numFmtId="0" fontId="6" fillId="0" borderId="0" xfId="0" applyFont="1" applyAlignment="1">
      <alignment horizontal="center" vertical="center"/>
    </xf>
    <xf numFmtId="0" fontId="24" fillId="0" borderId="2" xfId="0" applyFont="1" applyBorder="1" applyAlignment="1">
      <alignment horizontal="center" vertical="center" wrapText="1"/>
    </xf>
    <xf numFmtId="167" fontId="2" fillId="0" borderId="0" xfId="0" applyNumberFormat="1" applyFont="1" applyAlignment="1">
      <alignment horizontal="center" wrapText="1"/>
    </xf>
    <xf numFmtId="167" fontId="2" fillId="0" borderId="0" xfId="0" applyNumberFormat="1" applyFont="1" applyAlignment="1">
      <alignment horizontal="center" vertical="center" wrapText="1"/>
    </xf>
    <xf numFmtId="0" fontId="6" fillId="0" borderId="2" xfId="0" applyFont="1" applyBorder="1" applyAlignment="1">
      <alignment vertical="center" wrapText="1"/>
    </xf>
    <xf numFmtId="0" fontId="21" fillId="0" borderId="0" xfId="0" applyFont="1" applyAlignment="1">
      <alignment horizontal="center" vertical="center" wrapText="1"/>
    </xf>
    <xf numFmtId="0" fontId="22" fillId="0" borderId="0" xfId="0" applyFont="1" applyAlignment="1">
      <alignment horizontal="left" vertical="center" wrapText="1"/>
    </xf>
    <xf numFmtId="0" fontId="21" fillId="0" borderId="1" xfId="0" applyFont="1" applyBorder="1" applyAlignment="1">
      <alignment horizontal="center" vertical="center" wrapText="1"/>
    </xf>
    <xf numFmtId="0" fontId="24" fillId="0" borderId="1" xfId="0" applyFont="1" applyBorder="1" applyAlignment="1">
      <alignment horizontal="center" vertical="center"/>
    </xf>
    <xf numFmtId="14" fontId="5" fillId="0" borderId="2" xfId="0" applyNumberFormat="1" applyFont="1" applyBorder="1" applyAlignment="1">
      <alignment horizontal="center" vertical="center"/>
    </xf>
    <xf numFmtId="167" fontId="2" fillId="0" borderId="1" xfId="0" applyNumberFormat="1" applyFont="1" applyBorder="1" applyAlignment="1">
      <alignment horizontal="center" vertical="center" wrapText="1"/>
    </xf>
    <xf numFmtId="167" fontId="6" fillId="0" borderId="0" xfId="0" applyNumberFormat="1" applyFont="1" applyAlignment="1">
      <alignment horizontal="center" vertical="center"/>
    </xf>
    <xf numFmtId="1" fontId="6" fillId="0" borderId="0" xfId="0" applyNumberFormat="1" applyFont="1" applyAlignment="1">
      <alignment vertical="center" wrapText="1"/>
    </xf>
    <xf numFmtId="1" fontId="6" fillId="0" borderId="0" xfId="0" applyNumberFormat="1" applyFont="1" applyAlignment="1">
      <alignment horizontal="center" vertical="center" wrapText="1"/>
    </xf>
    <xf numFmtId="1" fontId="6" fillId="0" borderId="2" xfId="0" applyNumberFormat="1" applyFont="1" applyBorder="1" applyAlignment="1">
      <alignment horizontal="center" vertical="center" wrapText="1"/>
    </xf>
    <xf numFmtId="1" fontId="6" fillId="0" borderId="2" xfId="0" applyNumberFormat="1" applyFont="1" applyBorder="1" applyAlignment="1">
      <alignment vertical="center" wrapText="1"/>
    </xf>
    <xf numFmtId="0" fontId="27" fillId="0" borderId="0" xfId="0" applyFont="1" applyAlignment="1">
      <alignment vertical="center"/>
    </xf>
    <xf numFmtId="0" fontId="27" fillId="0" borderId="0" xfId="0" applyFont="1" applyAlignment="1">
      <alignment vertical="center" wrapText="1"/>
    </xf>
    <xf numFmtId="0" fontId="21" fillId="0" borderId="0" xfId="0" applyFont="1"/>
    <xf numFmtId="0" fontId="6" fillId="0" borderId="0" xfId="0" applyFont="1" applyAlignment="1">
      <alignment vertical="top" wrapText="1"/>
    </xf>
    <xf numFmtId="0" fontId="21" fillId="0" borderId="3" xfId="0" applyFont="1" applyBorder="1" applyAlignment="1">
      <alignment horizontal="center" vertical="center" wrapText="1"/>
    </xf>
    <xf numFmtId="0" fontId="25" fillId="0" borderId="0" xfId="0" applyFont="1" applyAlignment="1">
      <alignment horizontal="left" vertical="center" wrapText="1"/>
    </xf>
    <xf numFmtId="0" fontId="23" fillId="0" borderId="5" xfId="0" applyFont="1" applyBorder="1"/>
    <xf numFmtId="14" fontId="28" fillId="0" borderId="0" xfId="0" applyNumberFormat="1" applyFont="1" applyAlignment="1">
      <alignment horizontal="center" vertical="center"/>
    </xf>
    <xf numFmtId="0" fontId="23" fillId="0" borderId="7" xfId="0" applyFont="1" applyBorder="1"/>
    <xf numFmtId="0" fontId="28" fillId="0" borderId="0" xfId="0" applyFont="1" applyAlignment="1">
      <alignment horizontal="center" vertical="center"/>
    </xf>
    <xf numFmtId="0" fontId="7" fillId="0" borderId="0" xfId="0" applyFont="1" applyAlignment="1">
      <alignment horizontal="left" vertical="center"/>
    </xf>
    <xf numFmtId="0" fontId="7" fillId="0" borderId="2" xfId="0" applyFont="1" applyBorder="1" applyAlignment="1">
      <alignment horizontal="left" vertical="center"/>
    </xf>
    <xf numFmtId="0" fontId="6" fillId="3" borderId="0" xfId="0" applyFont="1" applyFill="1" applyAlignment="1">
      <alignment horizontal="center" vertical="center"/>
    </xf>
    <xf numFmtId="0" fontId="6" fillId="3" borderId="2" xfId="0" applyFont="1" applyFill="1" applyBorder="1" applyAlignment="1">
      <alignment horizontal="center" vertical="center"/>
    </xf>
    <xf numFmtId="0" fontId="6" fillId="0" borderId="0" xfId="0" applyFont="1" applyAlignment="1">
      <alignment vertical="center"/>
    </xf>
    <xf numFmtId="0" fontId="23" fillId="0" borderId="4" xfId="0" applyFont="1" applyBorder="1"/>
    <xf numFmtId="0" fontId="6" fillId="0" borderId="1" xfId="0" applyFont="1" applyBorder="1" applyAlignment="1">
      <alignment horizontal="center" vertical="center"/>
    </xf>
    <xf numFmtId="0" fontId="39" fillId="5" borderId="0" xfId="0" applyFont="1" applyFill="1" applyAlignment="1">
      <alignment horizontal="center" vertical="center" wrapText="1"/>
    </xf>
    <xf numFmtId="0" fontId="5" fillId="5" borderId="0" xfId="0" applyFont="1" applyFill="1" applyAlignment="1">
      <alignment horizontal="center" vertical="center" wrapText="1"/>
    </xf>
    <xf numFmtId="14" fontId="5" fillId="0" borderId="0" xfId="0" applyNumberFormat="1" applyFont="1" applyAlignment="1">
      <alignment horizontal="center" vertical="center"/>
    </xf>
    <xf numFmtId="0" fontId="33" fillId="0" borderId="0" xfId="0" applyFont="1" applyAlignment="1">
      <alignment horizontal="left" vertical="center"/>
    </xf>
    <xf numFmtId="0" fontId="5" fillId="0" borderId="3" xfId="0" applyFont="1" applyBorder="1" applyAlignment="1">
      <alignment horizontal="center" vertical="center"/>
    </xf>
    <xf numFmtId="0" fontId="2" fillId="0" borderId="0" xfId="0" applyFont="1" applyAlignment="1">
      <alignment vertical="center"/>
    </xf>
    <xf numFmtId="170" fontId="6" fillId="3" borderId="0" xfId="0" applyNumberFormat="1" applyFont="1" applyFill="1" applyAlignment="1">
      <alignment horizontal="center" vertical="center"/>
    </xf>
    <xf numFmtId="0" fontId="28" fillId="3" borderId="0" xfId="0" applyFont="1" applyFill="1" applyAlignment="1">
      <alignment horizontal="center" vertical="center"/>
    </xf>
    <xf numFmtId="0" fontId="2" fillId="0" borderId="2" xfId="0" applyFont="1" applyBorder="1" applyAlignment="1">
      <alignment vertical="center"/>
    </xf>
    <xf numFmtId="0" fontId="5" fillId="0" borderId="2" xfId="0" applyFont="1" applyBorder="1" applyAlignment="1">
      <alignment horizontal="center" vertical="center"/>
    </xf>
    <xf numFmtId="0" fontId="2" fillId="0" borderId="2" xfId="0" applyFont="1" applyBorder="1" applyAlignment="1">
      <alignment horizontal="center"/>
    </xf>
    <xf numFmtId="0" fontId="6" fillId="7" borderId="0" xfId="0" applyFont="1" applyFill="1" applyAlignment="1">
      <alignment horizontal="center" vertical="center"/>
    </xf>
    <xf numFmtId="0" fontId="28" fillId="7" borderId="0" xfId="0" applyFont="1" applyFill="1" applyAlignment="1">
      <alignment horizontal="center" vertical="center"/>
    </xf>
    <xf numFmtId="9" fontId="6" fillId="6" borderId="0" xfId="0" applyNumberFormat="1" applyFont="1" applyFill="1" applyAlignment="1">
      <alignment horizontal="center" vertical="center"/>
    </xf>
    <xf numFmtId="9" fontId="6" fillId="7" borderId="0" xfId="0" applyNumberFormat="1" applyFont="1" applyFill="1" applyAlignment="1">
      <alignment horizontal="center" vertical="center"/>
    </xf>
    <xf numFmtId="1" fontId="6" fillId="7" borderId="0" xfId="0" applyNumberFormat="1" applyFont="1" applyFill="1" applyAlignment="1">
      <alignment horizontal="center" vertical="center"/>
    </xf>
    <xf numFmtId="167" fontId="6" fillId="7" borderId="0" xfId="0" applyNumberFormat="1" applyFont="1" applyFill="1" applyAlignment="1">
      <alignment horizontal="center" vertical="center"/>
    </xf>
    <xf numFmtId="1" fontId="6" fillId="6" borderId="0" xfId="0" applyNumberFormat="1" applyFont="1" applyFill="1" applyAlignment="1">
      <alignment horizontal="center" vertical="center"/>
    </xf>
    <xf numFmtId="167" fontId="6" fillId="6" borderId="0" xfId="0" applyNumberFormat="1" applyFont="1" applyFill="1" applyAlignment="1">
      <alignment horizontal="center" vertical="center"/>
    </xf>
    <xf numFmtId="0" fontId="6" fillId="6" borderId="0" xfId="0" applyFont="1" applyFill="1" applyAlignment="1">
      <alignment horizontal="center" vertical="center"/>
    </xf>
    <xf numFmtId="0" fontId="28" fillId="6" borderId="0" xfId="0" applyFont="1" applyFill="1" applyAlignment="1">
      <alignment horizontal="center" vertical="center"/>
    </xf>
    <xf numFmtId="0" fontId="6" fillId="8" borderId="0" xfId="0" applyFont="1" applyFill="1" applyAlignment="1">
      <alignment horizontal="center" vertical="center"/>
    </xf>
    <xf numFmtId="170" fontId="6" fillId="7" borderId="0" xfId="0" applyNumberFormat="1" applyFont="1" applyFill="1" applyAlignment="1">
      <alignment horizontal="center" vertical="center"/>
    </xf>
    <xf numFmtId="1" fontId="6" fillId="8" borderId="0" xfId="0" applyNumberFormat="1" applyFont="1" applyFill="1" applyAlignment="1">
      <alignment horizontal="center" vertical="center"/>
    </xf>
    <xf numFmtId="167" fontId="6" fillId="8" borderId="0" xfId="0" applyNumberFormat="1" applyFont="1" applyFill="1" applyAlignment="1">
      <alignment horizontal="center" vertical="center"/>
    </xf>
    <xf numFmtId="0" fontId="28" fillId="8" borderId="0" xfId="0" applyFont="1" applyFill="1" applyAlignment="1">
      <alignment horizontal="center" vertical="center"/>
    </xf>
    <xf numFmtId="9" fontId="6" fillId="8" borderId="0" xfId="0" applyNumberFormat="1" applyFont="1" applyFill="1" applyAlignment="1">
      <alignment horizontal="center" vertical="center"/>
    </xf>
    <xf numFmtId="0" fontId="6" fillId="9" borderId="0" xfId="0" applyFont="1" applyFill="1" applyAlignment="1">
      <alignment horizontal="center" vertical="center"/>
    </xf>
    <xf numFmtId="167" fontId="6" fillId="9" borderId="0" xfId="0" applyNumberFormat="1" applyFont="1" applyFill="1" applyAlignment="1">
      <alignment horizontal="center" vertical="center"/>
    </xf>
    <xf numFmtId="0" fontId="28" fillId="9" borderId="0" xfId="0" applyFont="1" applyFill="1" applyAlignment="1">
      <alignment horizontal="center" vertical="center"/>
    </xf>
    <xf numFmtId="9" fontId="6" fillId="9" borderId="0" xfId="0" applyNumberFormat="1" applyFont="1" applyFill="1" applyAlignment="1">
      <alignment horizontal="center" vertical="center"/>
    </xf>
    <xf numFmtId="9" fontId="6" fillId="3" borderId="0" xfId="0" applyNumberFormat="1" applyFont="1" applyFill="1" applyAlignment="1">
      <alignment horizontal="center" vertical="center"/>
    </xf>
    <xf numFmtId="1" fontId="6" fillId="3" borderId="0" xfId="0" applyNumberFormat="1" applyFont="1" applyFill="1" applyAlignment="1">
      <alignment horizontal="center" vertical="center"/>
    </xf>
    <xf numFmtId="167" fontId="6" fillId="3" borderId="0" xfId="0" applyNumberFormat="1" applyFont="1" applyFill="1" applyAlignment="1">
      <alignment horizontal="center" vertical="center"/>
    </xf>
    <xf numFmtId="170" fontId="6" fillId="6" borderId="0" xfId="0" applyNumberFormat="1" applyFont="1" applyFill="1" applyAlignment="1">
      <alignment horizontal="center" vertical="center"/>
    </xf>
    <xf numFmtId="0" fontId="24" fillId="0" borderId="3" xfId="0" applyFont="1" applyBorder="1"/>
    <xf numFmtId="0" fontId="26" fillId="0" borderId="1" xfId="0" applyFont="1" applyBorder="1" applyAlignment="1">
      <alignment wrapText="1"/>
    </xf>
    <xf numFmtId="0" fontId="26" fillId="0" borderId="2" xfId="0" applyFont="1" applyBorder="1" applyAlignment="1">
      <alignment wrapText="1"/>
    </xf>
    <xf numFmtId="10" fontId="6" fillId="0" borderId="2" xfId="0" applyNumberFormat="1" applyFont="1" applyBorder="1" applyAlignment="1">
      <alignment horizontal="center" vertical="center" wrapText="1"/>
    </xf>
    <xf numFmtId="169" fontId="2" fillId="0" borderId="0" xfId="0" applyNumberFormat="1" applyFont="1" applyAlignment="1">
      <alignment horizontal="center" vertical="center"/>
    </xf>
    <xf numFmtId="0" fontId="6" fillId="0" borderId="2" xfId="0" applyFont="1" applyBorder="1" applyAlignment="1">
      <alignment horizontal="center" vertical="center"/>
    </xf>
    <xf numFmtId="21" fontId="6" fillId="0" borderId="0" xfId="0" applyNumberFormat="1" applyFont="1" applyAlignment="1">
      <alignment horizontal="center" vertical="center" wrapText="1"/>
    </xf>
    <xf numFmtId="0" fontId="5" fillId="0" borderId="1" xfId="0" applyFont="1" applyBorder="1" applyAlignment="1">
      <alignment horizontal="center" vertical="center"/>
    </xf>
    <xf numFmtId="0" fontId="34" fillId="0" borderId="1" xfId="0" applyFont="1" applyBorder="1" applyAlignment="1">
      <alignment horizontal="center" vertical="center"/>
    </xf>
    <xf numFmtId="0" fontId="5" fillId="0" borderId="0" xfId="0" applyFont="1" applyAlignment="1">
      <alignment horizontal="left" vertical="center" wrapText="1"/>
    </xf>
    <xf numFmtId="167" fontId="34" fillId="0" borderId="0" xfId="0" applyNumberFormat="1" applyFont="1" applyAlignment="1">
      <alignment horizontal="center" vertical="center"/>
    </xf>
    <xf numFmtId="0" fontId="24" fillId="0" borderId="0" xfId="0" applyFont="1"/>
    <xf numFmtId="0" fontId="5" fillId="0" borderId="1" xfId="0" applyFont="1" applyBorder="1" applyAlignment="1">
      <alignment horizontal="left" vertical="center" wrapText="1"/>
    </xf>
    <xf numFmtId="0" fontId="2" fillId="0" borderId="1" xfId="0" applyFont="1" applyBorder="1" applyAlignment="1">
      <alignment horizontal="center" vertical="center"/>
    </xf>
    <xf numFmtId="167" fontId="34" fillId="0" borderId="1" xfId="0" applyNumberFormat="1" applyFont="1" applyBorder="1" applyAlignment="1">
      <alignment horizontal="center" vertical="center"/>
    </xf>
    <xf numFmtId="0" fontId="25" fillId="0" borderId="1" xfId="0" applyFont="1" applyBorder="1" applyAlignment="1">
      <alignment horizontal="left" vertical="center" wrapText="1"/>
    </xf>
    <xf numFmtId="1" fontId="2" fillId="0" borderId="0" xfId="0" applyNumberFormat="1" applyFont="1" applyAlignment="1">
      <alignment horizontal="center" wrapText="1"/>
    </xf>
    <xf numFmtId="1" fontId="2" fillId="0" borderId="2" xfId="0" applyNumberFormat="1" applyFont="1" applyBorder="1" applyAlignment="1">
      <alignment horizontal="center" wrapText="1"/>
    </xf>
    <xf numFmtId="0" fontId="26" fillId="0" borderId="3" xfId="0" applyFont="1" applyBorder="1" applyAlignment="1">
      <alignment wrapText="1"/>
    </xf>
    <xf numFmtId="0" fontId="26" fillId="0" borderId="0" xfId="0" applyFont="1"/>
    <xf numFmtId="0" fontId="26" fillId="0" borderId="0" xfId="0" applyFont="1" applyAlignment="1">
      <alignment wrapText="1"/>
    </xf>
    <xf numFmtId="169" fontId="2" fillId="0" borderId="2" xfId="0" applyNumberFormat="1" applyFont="1" applyBorder="1" applyAlignment="1">
      <alignment horizontal="center" vertical="center"/>
    </xf>
    <xf numFmtId="0" fontId="6" fillId="0" borderId="1" xfId="0" applyFont="1" applyBorder="1" applyAlignment="1">
      <alignment vertical="center" wrapText="1"/>
    </xf>
    <xf numFmtId="0" fontId="5" fillId="0" borderId="0" xfId="0" applyFont="1" applyAlignment="1">
      <alignment horizontal="left" vertical="center"/>
    </xf>
    <xf numFmtId="0" fontId="6" fillId="0" borderId="0" xfId="0" applyFont="1" applyAlignment="1">
      <alignment horizontal="left"/>
    </xf>
    <xf numFmtId="0" fontId="6" fillId="0" borderId="2" xfId="0" applyFont="1" applyBorder="1" applyAlignment="1">
      <alignment horizontal="left"/>
    </xf>
    <xf numFmtId="0" fontId="5" fillId="0" borderId="2" xfId="0" applyFont="1" applyBorder="1" applyAlignment="1">
      <alignment horizontal="left" vertical="center"/>
    </xf>
    <xf numFmtId="0" fontId="2" fillId="0" borderId="10" xfId="0" applyFont="1" applyBorder="1" applyAlignment="1">
      <alignment horizontal="center" vertical="center"/>
    </xf>
    <xf numFmtId="0" fontId="23" fillId="0" borderId="10" xfId="0" applyFont="1" applyBorder="1"/>
    <xf numFmtId="0" fontId="5" fillId="0" borderId="10" xfId="0" applyFont="1" applyBorder="1" applyAlignment="1">
      <alignment horizontal="right"/>
    </xf>
    <xf numFmtId="0" fontId="5" fillId="0" borderId="10" xfId="0" applyFont="1" applyBorder="1" applyAlignment="1">
      <alignment horizontal="left"/>
    </xf>
    <xf numFmtId="0" fontId="31" fillId="0" borderId="0" xfId="0" applyFont="1" applyAlignment="1">
      <alignment horizontal="left" vertical="center"/>
    </xf>
    <xf numFmtId="0" fontId="31" fillId="0" borderId="0" xfId="0" applyFont="1" applyAlignment="1">
      <alignment horizontal="left" vertical="top" wrapText="1"/>
    </xf>
    <xf numFmtId="0" fontId="21" fillId="0" borderId="0" xfId="0" applyFont="1" applyAlignment="1">
      <alignment vertical="center"/>
    </xf>
    <xf numFmtId="0" fontId="18" fillId="0" borderId="0" xfId="0" applyFont="1" applyAlignment="1">
      <alignment horizontal="left" vertical="center" wrapText="1"/>
    </xf>
    <xf numFmtId="0" fontId="32" fillId="0" borderId="11" xfId="0" applyFont="1" applyBorder="1" applyAlignment="1">
      <alignment horizontal="center" vertical="top"/>
    </xf>
    <xf numFmtId="0" fontId="23" fillId="0" borderId="11" xfId="0" applyFont="1" applyBorder="1"/>
    <xf numFmtId="0" fontId="5" fillId="0" borderId="1" xfId="0" applyFont="1" applyBorder="1" applyAlignment="1">
      <alignment horizontal="left" vertical="center"/>
    </xf>
    <xf numFmtId="0" fontId="2" fillId="0" borderId="1" xfId="0" applyFont="1" applyBorder="1" applyAlignment="1">
      <alignment horizontal="left" vertical="center"/>
    </xf>
    <xf numFmtId="0" fontId="25" fillId="0" borderId="1" xfId="0" applyFont="1" applyBorder="1"/>
    <xf numFmtId="14" fontId="6" fillId="0" borderId="1" xfId="0" applyNumberFormat="1" applyFont="1" applyBorder="1" applyAlignment="1">
      <alignment horizontal="left"/>
    </xf>
    <xf numFmtId="166" fontId="6" fillId="0" borderId="0" xfId="0" applyNumberFormat="1" applyFont="1" applyAlignment="1">
      <alignment horizontal="left"/>
    </xf>
    <xf numFmtId="14" fontId="2" fillId="0" borderId="0" xfId="0" applyNumberFormat="1" applyFont="1" applyAlignment="1">
      <alignment horizontal="left" vertical="center"/>
    </xf>
    <xf numFmtId="14" fontId="6" fillId="0" borderId="0" xfId="0" applyNumberFormat="1" applyFont="1" applyAlignment="1">
      <alignment horizontal="left"/>
    </xf>
    <xf numFmtId="167" fontId="2" fillId="0" borderId="0" xfId="0" applyNumberFormat="1" applyFont="1" applyAlignment="1">
      <alignment horizontal="center" vertical="center"/>
    </xf>
    <xf numFmtId="167" fontId="2" fillId="0" borderId="2" xfId="0" applyNumberFormat="1" applyFont="1" applyBorder="1" applyAlignment="1">
      <alignment horizontal="center" vertical="center"/>
    </xf>
    <xf numFmtId="0" fontId="35" fillId="0" borderId="0" xfId="0" applyFont="1" applyAlignment="1">
      <alignment horizontal="left" vertical="center"/>
    </xf>
    <xf numFmtId="0" fontId="24" fillId="0" borderId="1" xfId="0" applyFont="1" applyBorder="1" applyAlignment="1">
      <alignment horizontal="center"/>
    </xf>
    <xf numFmtId="0" fontId="24" fillId="0" borderId="2" xfId="0" applyFont="1" applyBorder="1" applyAlignment="1">
      <alignment vertical="center"/>
    </xf>
    <xf numFmtId="2" fontId="2" fillId="0" borderId="2" xfId="0" applyNumberFormat="1" applyFont="1" applyBorder="1" applyAlignment="1">
      <alignment horizontal="center" vertical="center"/>
    </xf>
    <xf numFmtId="14" fontId="24" fillId="0" borderId="2" xfId="0" applyNumberFormat="1" applyFont="1" applyBorder="1" applyAlignment="1">
      <alignment horizontal="center"/>
    </xf>
    <xf numFmtId="2" fontId="2" fillId="0" borderId="0" xfId="0" applyNumberFormat="1" applyFont="1" applyAlignment="1">
      <alignment horizontal="center" vertical="center"/>
    </xf>
    <xf numFmtId="0" fontId="35" fillId="0" borderId="0" xfId="0" applyFont="1" applyAlignment="1">
      <alignment horizontal="left" vertical="center" wrapText="1"/>
    </xf>
    <xf numFmtId="0" fontId="36" fillId="0" borderId="0" xfId="0" applyFont="1" applyAlignment="1">
      <alignment horizontal="center" vertical="center"/>
    </xf>
    <xf numFmtId="168" fontId="3" fillId="0" borderId="0" xfId="0" applyNumberFormat="1" applyFont="1" applyAlignment="1">
      <alignment horizontal="center" vertical="center"/>
    </xf>
    <xf numFmtId="168" fontId="2" fillId="0" borderId="0" xfId="0" applyNumberFormat="1" applyFont="1" applyAlignment="1">
      <alignment horizontal="center" vertical="center"/>
    </xf>
    <xf numFmtId="167" fontId="3" fillId="0" borderId="0" xfId="0" applyNumberFormat="1" applyFont="1" applyAlignment="1">
      <alignment horizontal="center" vertical="center"/>
    </xf>
    <xf numFmtId="0" fontId="36" fillId="0" borderId="2" xfId="0" applyFont="1" applyBorder="1" applyAlignment="1">
      <alignment horizontal="center" vertical="center"/>
    </xf>
    <xf numFmtId="168" fontId="3" fillId="0" borderId="2" xfId="0" applyNumberFormat="1" applyFont="1" applyBorder="1" applyAlignment="1">
      <alignment horizontal="center" vertical="center"/>
    </xf>
    <xf numFmtId="0" fontId="36" fillId="0" borderId="0" xfId="0" applyFont="1" applyAlignment="1">
      <alignment horizontal="left" vertical="top"/>
    </xf>
    <xf numFmtId="0" fontId="6" fillId="0" borderId="0" xfId="0" applyFont="1" applyAlignment="1">
      <alignment horizontal="center"/>
    </xf>
    <xf numFmtId="168" fontId="6" fillId="0" borderId="0" xfId="0" applyNumberFormat="1" applyFont="1" applyAlignment="1">
      <alignment horizontal="center" vertical="center"/>
    </xf>
    <xf numFmtId="168" fontId="6" fillId="0" borderId="2" xfId="0" applyNumberFormat="1" applyFont="1" applyBorder="1" applyAlignment="1">
      <alignment horizontal="center" vertical="center"/>
    </xf>
    <xf numFmtId="0" fontId="36" fillId="0" borderId="1" xfId="0" applyFont="1" applyBorder="1" applyAlignment="1">
      <alignment horizontal="center" vertical="center" wrapText="1"/>
    </xf>
    <xf numFmtId="0" fontId="5" fillId="0" borderId="0" xfId="0" applyFont="1" applyAlignment="1">
      <alignment horizontal="center"/>
    </xf>
    <xf numFmtId="0" fontId="21" fillId="0" borderId="0" xfId="0" applyFont="1" applyAlignment="1">
      <alignment horizontal="center" vertical="center" textRotation="90" wrapText="1"/>
    </xf>
    <xf numFmtId="0" fontId="41" fillId="16" borderId="0" xfId="0" applyFont="1" applyFill="1" applyAlignment="1">
      <alignment horizontal="center" vertical="center"/>
    </xf>
    <xf numFmtId="0" fontId="41" fillId="18" borderId="0" xfId="0" applyFont="1" applyFill="1" applyAlignment="1">
      <alignment horizontal="center" vertical="center"/>
    </xf>
    <xf numFmtId="0" fontId="41" fillId="19" borderId="0" xfId="0" applyFont="1" applyFill="1" applyAlignment="1">
      <alignment horizontal="center" vertical="center"/>
    </xf>
    <xf numFmtId="0" fontId="42" fillId="0" borderId="0" xfId="0" applyFont="1" applyAlignment="1">
      <alignment horizontal="left" vertical="top" wrapText="1"/>
    </xf>
    <xf numFmtId="0" fontId="24" fillId="20" borderId="0" xfId="0" applyFont="1" applyFill="1" applyAlignment="1">
      <alignment horizontal="center" vertical="center"/>
    </xf>
    <xf numFmtId="0" fontId="6" fillId="20" borderId="0" xfId="0" applyFont="1" applyFill="1" applyAlignment="1">
      <alignment horizontal="center"/>
    </xf>
    <xf numFmtId="0" fontId="44" fillId="0" borderId="1" xfId="0" applyFont="1" applyBorder="1" applyAlignment="1">
      <alignment horizontal="center" vertical="center"/>
    </xf>
    <xf numFmtId="0" fontId="21" fillId="0" borderId="0" xfId="0" applyFont="1" applyAlignment="1">
      <alignment horizontal="center" wrapText="1"/>
    </xf>
    <xf numFmtId="0" fontId="35" fillId="0" borderId="14" xfId="0" applyFont="1" applyBorder="1"/>
    <xf numFmtId="0" fontId="23" fillId="0" borderId="15" xfId="0" applyFont="1" applyBorder="1"/>
    <xf numFmtId="14" fontId="46" fillId="0" borderId="14" xfId="0" applyNumberFormat="1" applyFont="1" applyBorder="1"/>
    <xf numFmtId="0" fontId="23" fillId="0" borderId="17" xfId="0" applyFont="1" applyBorder="1"/>
    <xf numFmtId="0" fontId="24" fillId="0" borderId="0" xfId="0" applyFont="1" applyAlignment="1">
      <alignment horizontal="center"/>
    </xf>
    <xf numFmtId="0" fontId="26" fillId="0" borderId="0" xfId="0" applyFont="1" applyAlignment="1">
      <alignment horizontal="center"/>
    </xf>
    <xf numFmtId="0" fontId="62" fillId="34" borderId="0" xfId="0" applyFont="1" applyFill="1"/>
    <xf numFmtId="0" fontId="0" fillId="35" borderId="0" xfId="0" applyFill="1"/>
    <xf numFmtId="0" fontId="0" fillId="36" borderId="0" xfId="0" applyFill="1"/>
    <xf numFmtId="43" fontId="0" fillId="35" borderId="0" xfId="1" applyFont="1" applyFill="1"/>
    <xf numFmtId="43" fontId="0" fillId="36" borderId="0" xfId="1" applyFont="1" applyFill="1"/>
    <xf numFmtId="0" fontId="63" fillId="0" borderId="0" xfId="0" applyFont="1" applyAlignment="1">
      <alignment horizontal="left" vertical="top" wrapText="1"/>
    </xf>
    <xf numFmtId="0" fontId="64" fillId="0" borderId="0" xfId="0" applyFont="1"/>
  </cellXfs>
  <cellStyles count="2">
    <cellStyle name="Normal" xfId="0" builtinId="0"/>
    <cellStyle name="Vírgula" xfId="1" builtinId="3"/>
  </cellStyles>
  <dxfs count="1">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2000" b="1">
                <a:solidFill>
                  <a:srgbClr val="000000"/>
                </a:solidFill>
                <a:latin typeface="+mn-lt"/>
              </a:defRPr>
            </a:pPr>
            <a:r>
              <a:rPr lang="pt-BR" sz="2000" b="1">
                <a:solidFill>
                  <a:srgbClr val="000000"/>
                </a:solidFill>
                <a:latin typeface="+mn-lt"/>
              </a:rPr>
              <a:t>Atual</a:t>
            </a:r>
          </a:p>
        </c:rich>
      </c:tx>
      <c:overlay val="0"/>
    </c:title>
    <c:autoTitleDeleted val="0"/>
    <c:plotArea>
      <c:layout>
        <c:manualLayout>
          <c:xMode val="edge"/>
          <c:yMode val="edge"/>
          <c:x val="0.38121118012422361"/>
          <c:y val="0.15229885057471265"/>
          <c:w val="0.59627329192546585"/>
          <c:h val="0.79770114942528725"/>
        </c:manualLayout>
      </c:layout>
      <c:pieChart>
        <c:varyColors val="1"/>
        <c:ser>
          <c:idx val="0"/>
          <c:order val="0"/>
          <c:dPt>
            <c:idx val="0"/>
            <c:bubble3D val="0"/>
            <c:spPr>
              <a:solidFill>
                <a:srgbClr val="93C47D"/>
              </a:solidFill>
            </c:spPr>
            <c:extLst>
              <c:ext xmlns:c16="http://schemas.microsoft.com/office/drawing/2014/chart" uri="{C3380CC4-5D6E-409C-BE32-E72D297353CC}">
                <c16:uniqueId val="{00000001-8171-436C-800A-EA629474A2BE}"/>
              </c:ext>
            </c:extLst>
          </c:dPt>
          <c:dPt>
            <c:idx val="1"/>
            <c:bubble3D val="0"/>
            <c:spPr>
              <a:solidFill>
                <a:srgbClr val="FFB161"/>
              </a:solidFill>
            </c:spPr>
            <c:extLst>
              <c:ext xmlns:c16="http://schemas.microsoft.com/office/drawing/2014/chart" uri="{C3380CC4-5D6E-409C-BE32-E72D297353CC}">
                <c16:uniqueId val="{00000003-8171-436C-800A-EA629474A2B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Graficos!$A$142:$A$143</c:f>
              <c:strCache>
                <c:ptCount val="2"/>
                <c:pt idx="0">
                  <c:v>Massa magra atual</c:v>
                </c:pt>
                <c:pt idx="1">
                  <c:v>Gordura atual</c:v>
                </c:pt>
              </c:strCache>
            </c:strRef>
          </c:cat>
          <c:val>
            <c:numRef>
              <c:f>Graficos!$B$142:$B$143</c:f>
              <c:numCache>
                <c:formatCode>0.0</c:formatCode>
                <c:ptCount val="2"/>
                <c:pt idx="0">
                  <c:v>63.86825951586416</c:v>
                </c:pt>
                <c:pt idx="1">
                  <c:v>4.7317404841358313</c:v>
                </c:pt>
              </c:numCache>
            </c:numRef>
          </c:val>
          <c:extLst>
            <c:ext xmlns:c16="http://schemas.microsoft.com/office/drawing/2014/chart" uri="{C3380CC4-5D6E-409C-BE32-E72D297353CC}">
              <c16:uniqueId val="{00000004-8171-436C-800A-EA629474A2BE}"/>
            </c:ext>
          </c:extLst>
        </c:ser>
        <c:dLbls>
          <c:showLegendKey val="0"/>
          <c:showVal val="0"/>
          <c:showCatName val="0"/>
          <c:showSerName val="0"/>
          <c:showPercent val="0"/>
          <c:showBubbleSize val="0"/>
          <c:showLeaderLines val="1"/>
        </c:dLbls>
        <c:firstSliceAng val="0"/>
      </c:pieChart>
    </c:plotArea>
    <c:legend>
      <c:legendPos val="l"/>
      <c:overlay val="0"/>
      <c:txPr>
        <a:bodyPr/>
        <a:lstStyle/>
        <a:p>
          <a:pPr lvl="0">
            <a:defRPr b="0">
              <a:solidFill>
                <a:srgbClr val="1A1A1A"/>
              </a:solidFill>
              <a:latin typeface="+mn-lt"/>
            </a:defRPr>
          </a:pPr>
          <a:endParaRPr lang="pt-BR"/>
        </a:p>
      </c:txPr>
    </c:legend>
    <c:plotVisOnly val="1"/>
    <c:dispBlanksAs val="zero"/>
    <c:showDLblsOverMax val="1"/>
  </c:chart>
  <c:spPr>
    <a:solidFill>
      <a:srgbClr val="FFFFFF"/>
    </a:solidFill>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2000" b="1">
                <a:solidFill>
                  <a:srgbClr val="000000"/>
                </a:solidFill>
                <a:latin typeface="+mn-lt"/>
              </a:defRPr>
            </a:pPr>
            <a:r>
              <a:rPr lang="pt-BR" sz="2000" b="1">
                <a:solidFill>
                  <a:srgbClr val="000000"/>
                </a:solidFill>
                <a:latin typeface="+mn-lt"/>
              </a:rPr>
              <a:t>Meta Proposta</a:t>
            </a:r>
          </a:p>
        </c:rich>
      </c:tx>
      <c:overlay val="0"/>
    </c:title>
    <c:autoTitleDeleted val="0"/>
    <c:plotArea>
      <c:layout/>
      <c:pieChart>
        <c:varyColors val="1"/>
        <c:ser>
          <c:idx val="0"/>
          <c:order val="0"/>
          <c:dPt>
            <c:idx val="0"/>
            <c:bubble3D val="0"/>
            <c:spPr>
              <a:solidFill>
                <a:srgbClr val="93C47D"/>
              </a:solidFill>
            </c:spPr>
            <c:extLst>
              <c:ext xmlns:c16="http://schemas.microsoft.com/office/drawing/2014/chart" uri="{C3380CC4-5D6E-409C-BE32-E72D297353CC}">
                <c16:uniqueId val="{00000001-E9F8-463B-931F-84F87FF1D7A9}"/>
              </c:ext>
            </c:extLst>
          </c:dPt>
          <c:dPt>
            <c:idx val="1"/>
            <c:bubble3D val="0"/>
            <c:explosion val="25"/>
            <c:spPr>
              <a:solidFill>
                <a:srgbClr val="6AA84F"/>
              </a:solidFill>
            </c:spPr>
            <c:extLst>
              <c:ext xmlns:c16="http://schemas.microsoft.com/office/drawing/2014/chart" uri="{C3380CC4-5D6E-409C-BE32-E72D297353CC}">
                <c16:uniqueId val="{00000003-E9F8-463B-931F-84F87FF1D7A9}"/>
              </c:ext>
            </c:extLst>
          </c:dPt>
          <c:dPt>
            <c:idx val="2"/>
            <c:bubble3D val="0"/>
            <c:spPr>
              <a:solidFill>
                <a:srgbClr val="FFB161"/>
              </a:solidFill>
            </c:spPr>
            <c:extLst>
              <c:ext xmlns:c16="http://schemas.microsoft.com/office/drawing/2014/chart" uri="{C3380CC4-5D6E-409C-BE32-E72D297353CC}">
                <c16:uniqueId val="{00000005-E9F8-463B-931F-84F87FF1D7A9}"/>
              </c:ext>
            </c:extLst>
          </c:dPt>
          <c:dPt>
            <c:idx val="3"/>
            <c:bubble3D val="0"/>
            <c:explosion val="25"/>
            <c:spPr>
              <a:solidFill>
                <a:srgbClr val="FF9900"/>
              </a:solidFill>
            </c:spPr>
            <c:extLst>
              <c:ext xmlns:c16="http://schemas.microsoft.com/office/drawing/2014/chart" uri="{C3380CC4-5D6E-409C-BE32-E72D297353CC}">
                <c16:uniqueId val="{00000007-E9F8-463B-931F-84F87FF1D7A9}"/>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Graficos!$A$150:$A$153</c:f>
              <c:strCache>
                <c:ptCount val="4"/>
                <c:pt idx="0">
                  <c:v>Massa magra atual</c:v>
                </c:pt>
                <c:pt idx="1">
                  <c:v>Meta de aumento de massa magra</c:v>
                </c:pt>
                <c:pt idx="2">
                  <c:v>Gordura atual</c:v>
                </c:pt>
                <c:pt idx="3">
                  <c:v>Ganho de gordura estimado</c:v>
                </c:pt>
              </c:strCache>
            </c:strRef>
          </c:cat>
          <c:val>
            <c:numRef>
              <c:f>Graficos!$B$150:$B$153</c:f>
              <c:numCache>
                <c:formatCode>0.0</c:formatCode>
                <c:ptCount val="4"/>
                <c:pt idx="0">
                  <c:v>63.86825951586416</c:v>
                </c:pt>
                <c:pt idx="1">
                  <c:v>0.13174048413583961</c:v>
                </c:pt>
                <c:pt idx="2">
                  <c:v>4.7317404841358313</c:v>
                </c:pt>
                <c:pt idx="3">
                  <c:v>0.38922725779965273</c:v>
                </c:pt>
              </c:numCache>
            </c:numRef>
          </c:val>
          <c:extLst>
            <c:ext xmlns:c16="http://schemas.microsoft.com/office/drawing/2014/chart" uri="{C3380CC4-5D6E-409C-BE32-E72D297353CC}">
              <c16:uniqueId val="{00000008-E9F8-463B-931F-84F87FF1D7A9}"/>
            </c:ext>
          </c:extLst>
        </c:ser>
        <c:dLbls>
          <c:showLegendKey val="0"/>
          <c:showVal val="0"/>
          <c:showCatName val="0"/>
          <c:showSerName val="0"/>
          <c:showPercent val="0"/>
          <c:showBubbleSize val="0"/>
          <c:showLeaderLines val="1"/>
        </c:dLbls>
        <c:firstSliceAng val="0"/>
      </c:pieChart>
    </c:plotArea>
    <c:legend>
      <c:legendPos val="l"/>
      <c:overlay val="0"/>
      <c:txPr>
        <a:bodyPr/>
        <a:lstStyle/>
        <a:p>
          <a:pPr lvl="0">
            <a:defRPr b="0">
              <a:solidFill>
                <a:srgbClr val="1A1A1A"/>
              </a:solidFill>
              <a:latin typeface="+mn-lt"/>
            </a:defRPr>
          </a:pPr>
          <a:endParaRPr lang="pt-BR"/>
        </a:p>
      </c:txPr>
    </c:legend>
    <c:plotVisOnly val="1"/>
    <c:dispBlanksAs val="zero"/>
    <c:showDLblsOverMax val="1"/>
  </c:chart>
  <c:spPr>
    <a:solidFill>
      <a:srgbClr val="FFFFFF"/>
    </a:solidFill>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93C47D"/>
              </a:solidFill>
            </c:spPr>
            <c:extLst>
              <c:ext xmlns:c16="http://schemas.microsoft.com/office/drawing/2014/chart" uri="{C3380CC4-5D6E-409C-BE32-E72D297353CC}">
                <c16:uniqueId val="{00000001-5B24-42D2-B869-423E739543D1}"/>
              </c:ext>
            </c:extLst>
          </c:dPt>
          <c:dPt>
            <c:idx val="1"/>
            <c:bubble3D val="0"/>
            <c:spPr>
              <a:solidFill>
                <a:srgbClr val="6D9EEB"/>
              </a:solidFill>
            </c:spPr>
            <c:extLst>
              <c:ext xmlns:c16="http://schemas.microsoft.com/office/drawing/2014/chart" uri="{C3380CC4-5D6E-409C-BE32-E72D297353CC}">
                <c16:uniqueId val="{00000003-5B24-42D2-B869-423E739543D1}"/>
              </c:ext>
            </c:extLst>
          </c:dPt>
          <c:dPt>
            <c:idx val="2"/>
            <c:bubble3D val="0"/>
            <c:spPr>
              <a:solidFill>
                <a:srgbClr val="F6B26B"/>
              </a:solidFill>
            </c:spPr>
            <c:extLst>
              <c:ext xmlns:c16="http://schemas.microsoft.com/office/drawing/2014/chart" uri="{C3380CC4-5D6E-409C-BE32-E72D297353CC}">
                <c16:uniqueId val="{00000005-5B24-42D2-B869-423E739543D1}"/>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Graficos!$A$322:$A$324</c:f>
              <c:strCache>
                <c:ptCount val="3"/>
                <c:pt idx="0">
                  <c:v>Proteínas</c:v>
                </c:pt>
                <c:pt idx="1">
                  <c:v>Carboidratos</c:v>
                </c:pt>
                <c:pt idx="2">
                  <c:v>Lipídios</c:v>
                </c:pt>
              </c:strCache>
            </c:strRef>
          </c:cat>
          <c:val>
            <c:numRef>
              <c:f>Graficos!$B$322:$B$324</c:f>
              <c:numCache>
                <c:formatCode>0.0</c:formatCode>
                <c:ptCount val="3"/>
                <c:pt idx="0">
                  <c:v>20.99737532808399</c:v>
                </c:pt>
                <c:pt idx="1">
                  <c:v>57.742782152230966</c:v>
                </c:pt>
                <c:pt idx="2">
                  <c:v>21.259842519685041</c:v>
                </c:pt>
              </c:numCache>
            </c:numRef>
          </c:val>
          <c:extLst>
            <c:ext xmlns:c16="http://schemas.microsoft.com/office/drawing/2014/chart" uri="{C3380CC4-5D6E-409C-BE32-E72D297353CC}">
              <c16:uniqueId val="{00000006-5B24-42D2-B869-423E739543D1}"/>
            </c:ext>
          </c:extLst>
        </c:ser>
        <c:dLbls>
          <c:showLegendKey val="0"/>
          <c:showVal val="0"/>
          <c:showCatName val="0"/>
          <c:showSerName val="0"/>
          <c:showPercent val="0"/>
          <c:showBubbleSize val="0"/>
          <c:showLeaderLines val="1"/>
        </c:dLbls>
      </c:pie3DChart>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bar"/>
        <c:grouping val="clustered"/>
        <c:varyColors val="1"/>
        <c:ser>
          <c:idx val="0"/>
          <c:order val="0"/>
          <c:spPr>
            <a:solidFill>
              <a:srgbClr val="6D9EEB"/>
            </a:solidFill>
            <a:ln cmpd="sng">
              <a:solidFill>
                <a:srgbClr val="000000"/>
              </a:solidFill>
            </a:ln>
          </c:spPr>
          <c:invertIfNegative val="1"/>
          <c:dLbls>
            <c:spPr>
              <a:noFill/>
              <a:ln>
                <a:noFill/>
              </a:ln>
              <a:effectLst/>
            </c:spPr>
            <c:txPr>
              <a:bodyPr/>
              <a:lstStyle/>
              <a:p>
                <a:pPr lvl="0">
                  <a:defRPr b="1" i="0">
                    <a:solidFill>
                      <a:srgbClr val="000000"/>
                    </a:solidFill>
                    <a:latin typeface="Arial black"/>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Graficos!$A$327:$A$328</c:f>
              <c:strCache>
                <c:ptCount val="2"/>
                <c:pt idx="0">
                  <c:v>Necessidade</c:v>
                </c:pt>
                <c:pt idx="1">
                  <c:v>Sugestão</c:v>
                </c:pt>
              </c:strCache>
            </c:strRef>
          </c:cat>
          <c:val>
            <c:numRef>
              <c:f>Graficos!$B$327:$B$328</c:f>
              <c:numCache>
                <c:formatCode>0</c:formatCode>
                <c:ptCount val="2"/>
                <c:pt idx="1">
                  <c:v>2613.66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F45-4B8C-AE0C-FBE6284DEC36}"/>
            </c:ext>
          </c:extLst>
        </c:ser>
        <c:ser>
          <c:idx val="1"/>
          <c:order val="1"/>
          <c:spPr>
            <a:solidFill>
              <a:srgbClr val="93C47D"/>
            </a:solidFill>
            <a:ln cmpd="sng">
              <a:solidFill>
                <a:srgbClr val="000000"/>
              </a:solidFill>
            </a:ln>
          </c:spPr>
          <c:invertIfNegative val="1"/>
          <c:dLbls>
            <c:spPr>
              <a:noFill/>
              <a:ln>
                <a:noFill/>
              </a:ln>
              <a:effectLst/>
            </c:spPr>
            <c:txPr>
              <a:bodyPr/>
              <a:lstStyle/>
              <a:p>
                <a:pPr lvl="0">
                  <a:defRPr b="1" i="0">
                    <a:solidFill>
                      <a:srgbClr val="000000"/>
                    </a:solidFill>
                    <a:latin typeface="Arial black"/>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Graficos!$A$327:$A$328</c:f>
              <c:strCache>
                <c:ptCount val="2"/>
                <c:pt idx="0">
                  <c:v>Necessidade</c:v>
                </c:pt>
                <c:pt idx="1">
                  <c:v>Sugestão</c:v>
                </c:pt>
              </c:strCache>
            </c:strRef>
          </c:cat>
          <c:val>
            <c:numRef>
              <c:f>Graficos!$C$327:$C$328</c:f>
              <c:numCache>
                <c:formatCode>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F45-4B8C-AE0C-FBE6284DEC36}"/>
            </c:ext>
          </c:extLst>
        </c:ser>
        <c:dLbls>
          <c:showLegendKey val="0"/>
          <c:showVal val="0"/>
          <c:showCatName val="0"/>
          <c:showSerName val="0"/>
          <c:showPercent val="0"/>
          <c:showBubbleSize val="0"/>
        </c:dLbls>
        <c:gapWidth val="150"/>
        <c:shape val="box"/>
        <c:axId val="1920404152"/>
        <c:axId val="1016307833"/>
        <c:axId val="0"/>
      </c:bar3DChart>
      <c:catAx>
        <c:axId val="1920404152"/>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a:solidFill>
                  <a:srgbClr val="000000"/>
                </a:solidFill>
                <a:latin typeface="+mn-lt"/>
              </a:defRPr>
            </a:pPr>
            <a:endParaRPr lang="pt-BR"/>
          </a:p>
        </c:txPr>
        <c:crossAx val="1016307833"/>
        <c:crosses val="autoZero"/>
        <c:auto val="1"/>
        <c:lblAlgn val="ctr"/>
        <c:lblOffset val="100"/>
        <c:noMultiLvlLbl val="1"/>
      </c:catAx>
      <c:valAx>
        <c:axId val="101630783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920404152"/>
        <c:crosses val="max"/>
        <c:crossBetween val="between"/>
      </c:valAx>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0"/>
        <c:ser>
          <c:idx val="0"/>
          <c:order val="0"/>
          <c:tx>
            <c:strRef>
              <c:f>Graficos!$A$332</c:f>
              <c:strCache>
                <c:ptCount val="1"/>
                <c:pt idx="0">
                  <c:v>Gordura (kg)</c:v>
                </c:pt>
              </c:strCache>
            </c:strRef>
          </c:tx>
          <c:spPr>
            <a:ln cmpd="sng">
              <a:solidFill>
                <a:srgbClr val="4285F4"/>
              </a:solidFill>
            </a:ln>
          </c:spPr>
          <c:marker>
            <c:symbol val="circle"/>
            <c:size val="10"/>
            <c:spPr>
              <a:solidFill>
                <a:srgbClr val="4285F4"/>
              </a:solidFill>
              <a:ln cmpd="sng">
                <a:solidFill>
                  <a:srgbClr val="4285F4"/>
                </a:solidFill>
              </a:ln>
            </c:spPr>
          </c:marker>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Graficos!$B$331:$K$331</c:f>
              <c:numCache>
                <c:formatCode>0</c:formatCode>
                <c:ptCount val="10"/>
                <c:pt idx="0" formatCode="General">
                  <c:v>0</c:v>
                </c:pt>
                <c:pt idx="1">
                  <c:v>0</c:v>
                </c:pt>
                <c:pt idx="2">
                  <c:v>0</c:v>
                </c:pt>
                <c:pt idx="3">
                  <c:v>0</c:v>
                </c:pt>
                <c:pt idx="4">
                  <c:v>0</c:v>
                </c:pt>
                <c:pt idx="5">
                  <c:v>0</c:v>
                </c:pt>
                <c:pt idx="6">
                  <c:v>0</c:v>
                </c:pt>
                <c:pt idx="7">
                  <c:v>0</c:v>
                </c:pt>
                <c:pt idx="8">
                  <c:v>0</c:v>
                </c:pt>
                <c:pt idx="9" formatCode="General">
                  <c:v>0</c:v>
                </c:pt>
              </c:numCache>
            </c:numRef>
          </c:cat>
          <c:val>
            <c:numRef>
              <c:f>Graficos!$B$332:$K$332</c:f>
              <c:numCache>
                <c:formatCode>0.0</c:formatCode>
                <c:ptCount val="10"/>
                <c:pt idx="0">
                  <c:v>4.7317404841358313</c:v>
                </c:pt>
                <c:pt idx="1">
                  <c:v>0</c:v>
                </c:pt>
                <c:pt idx="2">
                  <c:v>0</c:v>
                </c:pt>
                <c:pt idx="3">
                  <c:v>0</c:v>
                </c:pt>
                <c:pt idx="4">
                  <c:v>0</c:v>
                </c:pt>
                <c:pt idx="5">
                  <c:v>0</c:v>
                </c:pt>
                <c:pt idx="6">
                  <c:v>0</c:v>
                </c:pt>
                <c:pt idx="7">
                  <c:v>0</c:v>
                </c:pt>
                <c:pt idx="8">
                  <c:v>0</c:v>
                </c:pt>
                <c:pt idx="9">
                  <c:v>5.120967741935484</c:v>
                </c:pt>
              </c:numCache>
            </c:numRef>
          </c:val>
          <c:smooth val="0"/>
          <c:extLst>
            <c:ext xmlns:c16="http://schemas.microsoft.com/office/drawing/2014/chart" uri="{C3380CC4-5D6E-409C-BE32-E72D297353CC}">
              <c16:uniqueId val="{00000000-E281-4AA6-B9EA-DD3328A61244}"/>
            </c:ext>
          </c:extLst>
        </c:ser>
        <c:dLbls>
          <c:showLegendKey val="0"/>
          <c:showVal val="0"/>
          <c:showCatName val="0"/>
          <c:showSerName val="0"/>
          <c:showPercent val="0"/>
          <c:showBubbleSize val="0"/>
        </c:dLbls>
        <c:marker val="1"/>
        <c:smooth val="0"/>
        <c:axId val="1392117853"/>
        <c:axId val="1203367847"/>
      </c:lineChart>
      <c:catAx>
        <c:axId val="13921178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Dias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203367847"/>
        <c:crosses val="autoZero"/>
        <c:auto val="1"/>
        <c:lblAlgn val="ctr"/>
        <c:lblOffset val="100"/>
        <c:noMultiLvlLbl val="1"/>
      </c:catAx>
      <c:valAx>
        <c:axId val="12033678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Gordura (kg)</a:t>
                </a: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1392117853"/>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ubbleChart>
        <c:varyColors val="1"/>
        <c:ser>
          <c:idx val="0"/>
          <c:order val="0"/>
          <c:tx>
            <c:strRef>
              <c:f>Graficos!$A$338</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Graficos!$B$338</c:f>
              <c:numCache>
                <c:formatCode>h:mm:ss</c:formatCode>
                <c:ptCount val="1"/>
                <c:pt idx="0">
                  <c:v>0</c:v>
                </c:pt>
              </c:numCache>
            </c:numRef>
          </c:xVal>
          <c:yVal>
            <c:numRef>
              <c:f>Graficos!$C$338</c:f>
              <c:numCache>
                <c:formatCode>0.00</c:formatCode>
                <c:ptCount val="1"/>
              </c:numCache>
            </c:numRef>
          </c:yVal>
          <c:bubbleSize>
            <c:numRef>
              <c:f>Graficos!$E$338</c:f>
              <c:numCache>
                <c:formatCode>0.0</c:formatCode>
                <c:ptCount val="1"/>
              </c:numCache>
            </c:numRef>
          </c:bubbleSize>
          <c:bubble3D val="0"/>
          <c:extLst>
            <c:ext xmlns:c16="http://schemas.microsoft.com/office/drawing/2014/chart" uri="{C3380CC4-5D6E-409C-BE32-E72D297353CC}">
              <c16:uniqueId val="{00000000-45B6-4C4D-BC7D-4CBBB477DE29}"/>
            </c:ext>
          </c:extLst>
        </c:ser>
        <c:ser>
          <c:idx val="1"/>
          <c:order val="1"/>
          <c:tx>
            <c:strRef>
              <c:f>Graficos!$A$339</c:f>
              <c:strCache>
                <c:ptCount val="1"/>
                <c:pt idx="0">
                  <c:v>Café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Graficos!$B$339</c:f>
              <c:numCache>
                <c:formatCode>h:mm:ss</c:formatCode>
                <c:ptCount val="1"/>
                <c:pt idx="0">
                  <c:v>0.29166666666666669</c:v>
                </c:pt>
              </c:numCache>
            </c:numRef>
          </c:xVal>
          <c:yVal>
            <c:numRef>
              <c:f>Graficos!$C$339</c:f>
              <c:numCache>
                <c:formatCode>0.00</c:formatCode>
                <c:ptCount val="1"/>
                <c:pt idx="0">
                  <c:v>350.88385499999998</c:v>
                </c:pt>
              </c:numCache>
            </c:numRef>
          </c:yVal>
          <c:bubbleSize>
            <c:numRef>
              <c:f>Graficos!$E$339</c:f>
              <c:numCache>
                <c:formatCode>0.0</c:formatCode>
                <c:ptCount val="1"/>
                <c:pt idx="0">
                  <c:v>350.88385499999998</c:v>
                </c:pt>
              </c:numCache>
            </c:numRef>
          </c:bubbleSize>
          <c:bubble3D val="0"/>
          <c:extLst>
            <c:ext xmlns:c16="http://schemas.microsoft.com/office/drawing/2014/chart" uri="{C3380CC4-5D6E-409C-BE32-E72D297353CC}">
              <c16:uniqueId val="{00000001-45B6-4C4D-BC7D-4CBBB477DE29}"/>
            </c:ext>
          </c:extLst>
        </c:ser>
        <c:ser>
          <c:idx val="2"/>
          <c:order val="2"/>
          <c:tx>
            <c:strRef>
              <c:f>Graficos!$A$340</c:f>
              <c:strCache>
                <c:ptCount val="1"/>
                <c:pt idx="0">
                  <c:v>Café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Graficos!$B$340</c:f>
              <c:numCache>
                <c:formatCode>h:mm:ss</c:formatCode>
                <c:ptCount val="1"/>
                <c:pt idx="0">
                  <c:v>0.29166666666666669</c:v>
                </c:pt>
              </c:numCache>
            </c:numRef>
          </c:xVal>
          <c:yVal>
            <c:numRef>
              <c:f>Graficos!$C$340</c:f>
              <c:numCache>
                <c:formatCode>0.00</c:formatCode>
                <c:ptCount val="1"/>
                <c:pt idx="0">
                  <c:v>155.51276999999999</c:v>
                </c:pt>
              </c:numCache>
            </c:numRef>
          </c:yVal>
          <c:bubbleSize>
            <c:numRef>
              <c:f>Graficos!$E$340</c:f>
              <c:numCache>
                <c:formatCode>0.0</c:formatCode>
                <c:ptCount val="1"/>
                <c:pt idx="0">
                  <c:v>155.51276999999999</c:v>
                </c:pt>
              </c:numCache>
            </c:numRef>
          </c:bubbleSize>
          <c:bubble3D val="0"/>
          <c:extLst>
            <c:ext xmlns:c16="http://schemas.microsoft.com/office/drawing/2014/chart" uri="{C3380CC4-5D6E-409C-BE32-E72D297353CC}">
              <c16:uniqueId val="{00000002-45B6-4C4D-BC7D-4CBBB477DE29}"/>
            </c:ext>
          </c:extLst>
        </c:ser>
        <c:ser>
          <c:idx val="3"/>
          <c:order val="3"/>
          <c:tx>
            <c:strRef>
              <c:f>Graficos!$A$341</c:f>
              <c:strCache>
                <c:ptCount val="1"/>
                <c:pt idx="0">
                  <c:v>Café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Graficos!$B$341</c:f>
              <c:numCache>
                <c:formatCode>h:mm:ss</c:formatCode>
                <c:ptCount val="1"/>
                <c:pt idx="0">
                  <c:v>0.29166666666666669</c:v>
                </c:pt>
              </c:numCache>
            </c:numRef>
          </c:xVal>
          <c:yVal>
            <c:numRef>
              <c:f>Graficos!$C$341</c:f>
              <c:numCache>
                <c:formatCode>0.00</c:formatCode>
                <c:ptCount val="1"/>
                <c:pt idx="0">
                  <c:v>147.01837499999999</c:v>
                </c:pt>
              </c:numCache>
            </c:numRef>
          </c:yVal>
          <c:bubbleSize>
            <c:numRef>
              <c:f>Graficos!$E$341</c:f>
              <c:numCache>
                <c:formatCode>0.0</c:formatCode>
                <c:ptCount val="1"/>
                <c:pt idx="0">
                  <c:v>147.01837499999999</c:v>
                </c:pt>
              </c:numCache>
            </c:numRef>
          </c:bubbleSize>
          <c:bubble3D val="0"/>
          <c:extLst>
            <c:ext xmlns:c16="http://schemas.microsoft.com/office/drawing/2014/chart" uri="{C3380CC4-5D6E-409C-BE32-E72D297353CC}">
              <c16:uniqueId val="{00000003-45B6-4C4D-BC7D-4CBBB477DE29}"/>
            </c:ext>
          </c:extLst>
        </c:ser>
        <c:ser>
          <c:idx val="4"/>
          <c:order val="4"/>
          <c:tx>
            <c:strRef>
              <c:f>Graficos!$A$342</c:f>
              <c:strCache>
                <c:ptCount val="1"/>
                <c:pt idx="0">
                  <c:v>Lanche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Graficos!$B$342</c:f>
              <c:numCache>
                <c:formatCode>h:mm:ss</c:formatCode>
                <c:ptCount val="1"/>
                <c:pt idx="0">
                  <c:v>0.375</c:v>
                </c:pt>
              </c:numCache>
            </c:numRef>
          </c:xVal>
          <c:yVal>
            <c:numRef>
              <c:f>Graficos!$C$342</c:f>
              <c:numCache>
                <c:formatCode>0.00</c:formatCode>
                <c:ptCount val="1"/>
                <c:pt idx="0">
                  <c:v>140.353542</c:v>
                </c:pt>
              </c:numCache>
            </c:numRef>
          </c:yVal>
          <c:bubbleSize>
            <c:numRef>
              <c:f>Graficos!$E$342</c:f>
              <c:numCache>
                <c:formatCode>0.0</c:formatCode>
                <c:ptCount val="1"/>
                <c:pt idx="0">
                  <c:v>140.353542</c:v>
                </c:pt>
              </c:numCache>
            </c:numRef>
          </c:bubbleSize>
          <c:bubble3D val="0"/>
          <c:extLst>
            <c:ext xmlns:c16="http://schemas.microsoft.com/office/drawing/2014/chart" uri="{C3380CC4-5D6E-409C-BE32-E72D297353CC}">
              <c16:uniqueId val="{00000004-45B6-4C4D-BC7D-4CBBB477DE29}"/>
            </c:ext>
          </c:extLst>
        </c:ser>
        <c:ser>
          <c:idx val="5"/>
          <c:order val="5"/>
          <c:tx>
            <c:strRef>
              <c:f>Graficos!$A$343</c:f>
              <c:strCache>
                <c:ptCount val="1"/>
                <c:pt idx="0">
                  <c:v>Lanche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Graficos!$B$343</c:f>
              <c:numCache>
                <c:formatCode>h:mm:ss</c:formatCode>
                <c:ptCount val="1"/>
                <c:pt idx="0">
                  <c:v>0.375</c:v>
                </c:pt>
              </c:numCache>
            </c:numRef>
          </c:xVal>
          <c:yVal>
            <c:numRef>
              <c:f>Graficos!$C$343</c:f>
              <c:numCache>
                <c:formatCode>0.00</c:formatCode>
                <c:ptCount val="1"/>
                <c:pt idx="0">
                  <c:v>62.205108000000003</c:v>
                </c:pt>
              </c:numCache>
            </c:numRef>
          </c:yVal>
          <c:bubbleSize>
            <c:numRef>
              <c:f>Graficos!$E$343</c:f>
              <c:numCache>
                <c:formatCode>0.0</c:formatCode>
                <c:ptCount val="1"/>
                <c:pt idx="0">
                  <c:v>62.205108000000003</c:v>
                </c:pt>
              </c:numCache>
            </c:numRef>
          </c:bubbleSize>
          <c:bubble3D val="0"/>
          <c:extLst>
            <c:ext xmlns:c16="http://schemas.microsoft.com/office/drawing/2014/chart" uri="{C3380CC4-5D6E-409C-BE32-E72D297353CC}">
              <c16:uniqueId val="{00000005-45B6-4C4D-BC7D-4CBBB477DE29}"/>
            </c:ext>
          </c:extLst>
        </c:ser>
        <c:ser>
          <c:idx val="6"/>
          <c:order val="6"/>
          <c:tx>
            <c:strRef>
              <c:f>Graficos!$A$344</c:f>
              <c:strCache>
                <c:ptCount val="1"/>
                <c:pt idx="0">
                  <c:v>Lanche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Graficos!$B$344</c:f>
              <c:numCache>
                <c:formatCode>h:mm:ss</c:formatCode>
                <c:ptCount val="1"/>
                <c:pt idx="0">
                  <c:v>0.375</c:v>
                </c:pt>
              </c:numCache>
            </c:numRef>
          </c:xVal>
          <c:yVal>
            <c:numRef>
              <c:f>Graficos!$C$344</c:f>
              <c:numCache>
                <c:formatCode>0.00</c:formatCode>
                <c:ptCount val="1"/>
                <c:pt idx="0">
                  <c:v>58.80735</c:v>
                </c:pt>
              </c:numCache>
            </c:numRef>
          </c:yVal>
          <c:bubbleSize>
            <c:numRef>
              <c:f>Graficos!$E$344</c:f>
              <c:numCache>
                <c:formatCode>0.0</c:formatCode>
                <c:ptCount val="1"/>
                <c:pt idx="0">
                  <c:v>58.80735</c:v>
                </c:pt>
              </c:numCache>
            </c:numRef>
          </c:bubbleSize>
          <c:bubble3D val="0"/>
          <c:extLst>
            <c:ext xmlns:c16="http://schemas.microsoft.com/office/drawing/2014/chart" uri="{C3380CC4-5D6E-409C-BE32-E72D297353CC}">
              <c16:uniqueId val="{00000006-45B6-4C4D-BC7D-4CBBB477DE29}"/>
            </c:ext>
          </c:extLst>
        </c:ser>
        <c:ser>
          <c:idx val="7"/>
          <c:order val="7"/>
          <c:tx>
            <c:strRef>
              <c:f>Graficos!$A$345</c:f>
              <c:strCache>
                <c:ptCount val="1"/>
                <c:pt idx="0">
                  <c:v>Almoço</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Graficos!$B$345</c:f>
              <c:numCache>
                <c:formatCode>h:mm:ss</c:formatCode>
                <c:ptCount val="1"/>
                <c:pt idx="0">
                  <c:v>0.5</c:v>
                </c:pt>
              </c:numCache>
            </c:numRef>
          </c:xVal>
          <c:yVal>
            <c:numRef>
              <c:f>Graficos!$C$345</c:f>
              <c:numCache>
                <c:formatCode>0.00</c:formatCode>
                <c:ptCount val="1"/>
                <c:pt idx="0">
                  <c:v>491.23739699999999</c:v>
                </c:pt>
              </c:numCache>
            </c:numRef>
          </c:yVal>
          <c:bubbleSize>
            <c:numRef>
              <c:f>Graficos!$E$345</c:f>
              <c:numCache>
                <c:formatCode>0.0</c:formatCode>
                <c:ptCount val="1"/>
                <c:pt idx="0">
                  <c:v>491.23739699999999</c:v>
                </c:pt>
              </c:numCache>
            </c:numRef>
          </c:bubbleSize>
          <c:bubble3D val="0"/>
          <c:extLst>
            <c:ext xmlns:c16="http://schemas.microsoft.com/office/drawing/2014/chart" uri="{C3380CC4-5D6E-409C-BE32-E72D297353CC}">
              <c16:uniqueId val="{00000007-45B6-4C4D-BC7D-4CBBB477DE29}"/>
            </c:ext>
          </c:extLst>
        </c:ser>
        <c:ser>
          <c:idx val="8"/>
          <c:order val="8"/>
          <c:tx>
            <c:strRef>
              <c:f>Graficos!$A$346</c:f>
              <c:strCache>
                <c:ptCount val="1"/>
                <c:pt idx="0">
                  <c:v>Almoço</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Graficos!$B$346</c:f>
              <c:numCache>
                <c:formatCode>h:mm:ss</c:formatCode>
                <c:ptCount val="1"/>
                <c:pt idx="0">
                  <c:v>0.5</c:v>
                </c:pt>
              </c:numCache>
            </c:numRef>
          </c:xVal>
          <c:yVal>
            <c:numRef>
              <c:f>Graficos!$C$346</c:f>
              <c:numCache>
                <c:formatCode>0.00</c:formatCode>
                <c:ptCount val="1"/>
                <c:pt idx="0">
                  <c:v>217.71787799999998</c:v>
                </c:pt>
              </c:numCache>
            </c:numRef>
          </c:yVal>
          <c:bubbleSize>
            <c:numRef>
              <c:f>Graficos!$E$346</c:f>
              <c:numCache>
                <c:formatCode>0.0</c:formatCode>
                <c:ptCount val="1"/>
                <c:pt idx="0">
                  <c:v>217.71787799999998</c:v>
                </c:pt>
              </c:numCache>
            </c:numRef>
          </c:bubbleSize>
          <c:bubble3D val="0"/>
          <c:extLst>
            <c:ext xmlns:c16="http://schemas.microsoft.com/office/drawing/2014/chart" uri="{C3380CC4-5D6E-409C-BE32-E72D297353CC}">
              <c16:uniqueId val="{00000008-45B6-4C4D-BC7D-4CBBB477DE29}"/>
            </c:ext>
          </c:extLst>
        </c:ser>
        <c:ser>
          <c:idx val="9"/>
          <c:order val="9"/>
          <c:tx>
            <c:strRef>
              <c:f>Graficos!$A$347</c:f>
              <c:strCache>
                <c:ptCount val="1"/>
                <c:pt idx="0">
                  <c:v>Almoço</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Graficos!$B$347</c:f>
              <c:numCache>
                <c:formatCode>h:mm:ss</c:formatCode>
                <c:ptCount val="1"/>
                <c:pt idx="0">
                  <c:v>0.5</c:v>
                </c:pt>
              </c:numCache>
            </c:numRef>
          </c:xVal>
          <c:yVal>
            <c:numRef>
              <c:f>Graficos!$C$347</c:f>
              <c:numCache>
                <c:formatCode>0.00</c:formatCode>
                <c:ptCount val="1"/>
                <c:pt idx="0">
                  <c:v>205.82572499999998</c:v>
                </c:pt>
              </c:numCache>
            </c:numRef>
          </c:yVal>
          <c:bubbleSize>
            <c:numRef>
              <c:f>Graficos!$E$347</c:f>
              <c:numCache>
                <c:formatCode>0.0</c:formatCode>
                <c:ptCount val="1"/>
                <c:pt idx="0">
                  <c:v>205.82572499999998</c:v>
                </c:pt>
              </c:numCache>
            </c:numRef>
          </c:bubbleSize>
          <c:bubble3D val="0"/>
          <c:extLst>
            <c:ext xmlns:c16="http://schemas.microsoft.com/office/drawing/2014/chart" uri="{C3380CC4-5D6E-409C-BE32-E72D297353CC}">
              <c16:uniqueId val="{00000009-45B6-4C4D-BC7D-4CBBB477DE29}"/>
            </c:ext>
          </c:extLst>
        </c:ser>
        <c:ser>
          <c:idx val="10"/>
          <c:order val="10"/>
          <c:tx>
            <c:strRef>
              <c:f>Graficos!$A$348</c:f>
              <c:strCache>
                <c:ptCount val="1"/>
                <c:pt idx="0">
                  <c:v>Lanche da Tarde</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Graficos!$B$348</c:f>
              <c:numCache>
                <c:formatCode>h:mm:ss</c:formatCode>
                <c:ptCount val="1"/>
                <c:pt idx="0">
                  <c:v>0.66666666666666663</c:v>
                </c:pt>
              </c:numCache>
            </c:numRef>
          </c:xVal>
          <c:yVal>
            <c:numRef>
              <c:f>Graficos!$C$348</c:f>
              <c:numCache>
                <c:formatCode>0.00</c:formatCode>
                <c:ptCount val="1"/>
                <c:pt idx="0">
                  <c:v>140.353542</c:v>
                </c:pt>
              </c:numCache>
            </c:numRef>
          </c:yVal>
          <c:bubbleSize>
            <c:numRef>
              <c:f>Graficos!$E$348</c:f>
              <c:numCache>
                <c:formatCode>0.0</c:formatCode>
                <c:ptCount val="1"/>
                <c:pt idx="0">
                  <c:v>140.353542</c:v>
                </c:pt>
              </c:numCache>
            </c:numRef>
          </c:bubbleSize>
          <c:bubble3D val="0"/>
          <c:extLst>
            <c:ext xmlns:c16="http://schemas.microsoft.com/office/drawing/2014/chart" uri="{C3380CC4-5D6E-409C-BE32-E72D297353CC}">
              <c16:uniqueId val="{0000000A-45B6-4C4D-BC7D-4CBBB477DE29}"/>
            </c:ext>
          </c:extLst>
        </c:ser>
        <c:ser>
          <c:idx val="11"/>
          <c:order val="11"/>
          <c:tx>
            <c:strRef>
              <c:f>Graficos!$A$349</c:f>
              <c:strCache>
                <c:ptCount val="1"/>
                <c:pt idx="0">
                  <c:v>Lanche da Tarde</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Graficos!$B$349</c:f>
              <c:numCache>
                <c:formatCode>h:mm:ss</c:formatCode>
                <c:ptCount val="1"/>
                <c:pt idx="0">
                  <c:v>0.66666666666666663</c:v>
                </c:pt>
              </c:numCache>
            </c:numRef>
          </c:xVal>
          <c:yVal>
            <c:numRef>
              <c:f>Graficos!$C$349</c:f>
              <c:numCache>
                <c:formatCode>0.00</c:formatCode>
                <c:ptCount val="1"/>
                <c:pt idx="0">
                  <c:v>62.205108000000003</c:v>
                </c:pt>
              </c:numCache>
            </c:numRef>
          </c:yVal>
          <c:bubbleSize>
            <c:numRef>
              <c:f>Graficos!$E$349</c:f>
              <c:numCache>
                <c:formatCode>0.0</c:formatCode>
                <c:ptCount val="1"/>
                <c:pt idx="0">
                  <c:v>62.205108000000003</c:v>
                </c:pt>
              </c:numCache>
            </c:numRef>
          </c:bubbleSize>
          <c:bubble3D val="0"/>
          <c:extLst>
            <c:ext xmlns:c16="http://schemas.microsoft.com/office/drawing/2014/chart" uri="{C3380CC4-5D6E-409C-BE32-E72D297353CC}">
              <c16:uniqueId val="{0000000B-45B6-4C4D-BC7D-4CBBB477DE29}"/>
            </c:ext>
          </c:extLst>
        </c:ser>
        <c:ser>
          <c:idx val="12"/>
          <c:order val="12"/>
          <c:tx>
            <c:strRef>
              <c:f>Graficos!$A$350</c:f>
              <c:strCache>
                <c:ptCount val="1"/>
                <c:pt idx="0">
                  <c:v>Lanche da Tarde</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Graficos!$B$350</c:f>
              <c:numCache>
                <c:formatCode>h:mm:ss</c:formatCode>
                <c:ptCount val="1"/>
                <c:pt idx="0">
                  <c:v>0.66666666666666663</c:v>
                </c:pt>
              </c:numCache>
            </c:numRef>
          </c:xVal>
          <c:yVal>
            <c:numRef>
              <c:f>Graficos!$C$350</c:f>
              <c:numCache>
                <c:formatCode>0.00</c:formatCode>
                <c:ptCount val="1"/>
                <c:pt idx="0">
                  <c:v>58.80735</c:v>
                </c:pt>
              </c:numCache>
            </c:numRef>
          </c:yVal>
          <c:bubbleSize>
            <c:numRef>
              <c:f>Graficos!$E$350</c:f>
              <c:numCache>
                <c:formatCode>0.0</c:formatCode>
                <c:ptCount val="1"/>
                <c:pt idx="0">
                  <c:v>58.80735</c:v>
                </c:pt>
              </c:numCache>
            </c:numRef>
          </c:bubbleSize>
          <c:bubble3D val="0"/>
          <c:extLst>
            <c:ext xmlns:c16="http://schemas.microsoft.com/office/drawing/2014/chart" uri="{C3380CC4-5D6E-409C-BE32-E72D297353CC}">
              <c16:uniqueId val="{0000000C-45B6-4C4D-BC7D-4CBBB477DE29}"/>
            </c:ext>
          </c:extLst>
        </c:ser>
        <c:ser>
          <c:idx val="13"/>
          <c:order val="13"/>
          <c:tx>
            <c:strRef>
              <c:f>Graficos!$A$351</c:f>
              <c:strCache>
                <c:ptCount val="1"/>
                <c:pt idx="0">
                  <c:v>Jantar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Graficos!$B$351</c:f>
              <c:numCache>
                <c:formatCode>h:mm:ss</c:formatCode>
                <c:ptCount val="1"/>
                <c:pt idx="0">
                  <c:v>0.8125</c:v>
                </c:pt>
              </c:numCache>
            </c:numRef>
          </c:xVal>
          <c:yVal>
            <c:numRef>
              <c:f>Graficos!$C$351</c:f>
              <c:numCache>
                <c:formatCode>0.00</c:formatCode>
                <c:ptCount val="1"/>
                <c:pt idx="0">
                  <c:v>280.70708400000001</c:v>
                </c:pt>
              </c:numCache>
            </c:numRef>
          </c:yVal>
          <c:bubbleSize>
            <c:numRef>
              <c:f>Graficos!$E$351</c:f>
              <c:numCache>
                <c:formatCode>0.0</c:formatCode>
                <c:ptCount val="1"/>
                <c:pt idx="0">
                  <c:v>280.70708400000001</c:v>
                </c:pt>
              </c:numCache>
            </c:numRef>
          </c:bubbleSize>
          <c:bubble3D val="0"/>
          <c:extLst>
            <c:ext xmlns:c16="http://schemas.microsoft.com/office/drawing/2014/chart" uri="{C3380CC4-5D6E-409C-BE32-E72D297353CC}">
              <c16:uniqueId val="{0000000D-45B6-4C4D-BC7D-4CBBB477DE29}"/>
            </c:ext>
          </c:extLst>
        </c:ser>
        <c:ser>
          <c:idx val="14"/>
          <c:order val="14"/>
          <c:tx>
            <c:strRef>
              <c:f>Graficos!$A$352</c:f>
              <c:strCache>
                <c:ptCount val="1"/>
                <c:pt idx="0">
                  <c:v>Jantar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Graficos!$B$352</c:f>
              <c:numCache>
                <c:formatCode>h:mm:ss</c:formatCode>
                <c:ptCount val="1"/>
                <c:pt idx="0">
                  <c:v>0.8125</c:v>
                </c:pt>
              </c:numCache>
            </c:numRef>
          </c:xVal>
          <c:yVal>
            <c:numRef>
              <c:f>Graficos!$C$352</c:f>
              <c:numCache>
                <c:formatCode>0.00</c:formatCode>
                <c:ptCount val="1"/>
                <c:pt idx="0">
                  <c:v>124.41021600000001</c:v>
                </c:pt>
              </c:numCache>
            </c:numRef>
          </c:yVal>
          <c:bubbleSize>
            <c:numRef>
              <c:f>Graficos!$E$352</c:f>
              <c:numCache>
                <c:formatCode>0.0</c:formatCode>
                <c:ptCount val="1"/>
                <c:pt idx="0">
                  <c:v>124.41021600000001</c:v>
                </c:pt>
              </c:numCache>
            </c:numRef>
          </c:bubbleSize>
          <c:bubble3D val="0"/>
          <c:extLst>
            <c:ext xmlns:c16="http://schemas.microsoft.com/office/drawing/2014/chart" uri="{C3380CC4-5D6E-409C-BE32-E72D297353CC}">
              <c16:uniqueId val="{0000000E-45B6-4C4D-BC7D-4CBBB477DE29}"/>
            </c:ext>
          </c:extLst>
        </c:ser>
        <c:ser>
          <c:idx val="15"/>
          <c:order val="15"/>
          <c:tx>
            <c:strRef>
              <c:f>Graficos!$A$353</c:f>
              <c:strCache>
                <c:ptCount val="1"/>
                <c:pt idx="0">
                  <c:v>Jantar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Graficos!$B$353</c:f>
              <c:numCache>
                <c:formatCode>h:mm:ss</c:formatCode>
                <c:ptCount val="1"/>
                <c:pt idx="0">
                  <c:v>0.8125</c:v>
                </c:pt>
              </c:numCache>
            </c:numRef>
          </c:xVal>
          <c:yVal>
            <c:numRef>
              <c:f>Graficos!$C$353</c:f>
              <c:numCache>
                <c:formatCode>0.00</c:formatCode>
                <c:ptCount val="1"/>
                <c:pt idx="0">
                  <c:v>117.6147</c:v>
                </c:pt>
              </c:numCache>
            </c:numRef>
          </c:yVal>
          <c:bubbleSize>
            <c:numRef>
              <c:f>Graficos!$E$353</c:f>
              <c:numCache>
                <c:formatCode>0.0</c:formatCode>
                <c:ptCount val="1"/>
                <c:pt idx="0">
                  <c:v>117.6147</c:v>
                </c:pt>
              </c:numCache>
            </c:numRef>
          </c:bubbleSize>
          <c:bubble3D val="0"/>
          <c:extLst>
            <c:ext xmlns:c16="http://schemas.microsoft.com/office/drawing/2014/chart" uri="{C3380CC4-5D6E-409C-BE32-E72D297353CC}">
              <c16:uniqueId val="{0000000F-45B6-4C4D-BC7D-4CBBB477DE29}"/>
            </c:ext>
          </c:extLst>
        </c:ser>
        <c:ser>
          <c:idx val="16"/>
          <c:order val="16"/>
          <c:tx>
            <c:strRef>
              <c:f>Graficos!$A$354</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Graficos!$B$354</c:f>
              <c:numCache>
                <c:formatCode>h:mm:ss</c:formatCode>
                <c:ptCount val="1"/>
                <c:pt idx="0">
                  <c:v>0</c:v>
                </c:pt>
              </c:numCache>
            </c:numRef>
          </c:xVal>
          <c:yVal>
            <c:numRef>
              <c:f>Graficos!$C$354</c:f>
              <c:numCache>
                <c:formatCode>0.00</c:formatCode>
                <c:ptCount val="1"/>
                <c:pt idx="0">
                  <c:v>0</c:v>
                </c:pt>
              </c:numCache>
            </c:numRef>
          </c:yVal>
          <c:bubbleSize>
            <c:numRef>
              <c:f>Graficos!$E$354</c:f>
              <c:numCache>
                <c:formatCode>0.0</c:formatCode>
                <c:ptCount val="1"/>
                <c:pt idx="0">
                  <c:v>0</c:v>
                </c:pt>
              </c:numCache>
            </c:numRef>
          </c:bubbleSize>
          <c:bubble3D val="0"/>
          <c:extLst>
            <c:ext xmlns:c16="http://schemas.microsoft.com/office/drawing/2014/chart" uri="{C3380CC4-5D6E-409C-BE32-E72D297353CC}">
              <c16:uniqueId val="{00000010-45B6-4C4D-BC7D-4CBBB477DE29}"/>
            </c:ext>
          </c:extLst>
        </c:ser>
        <c:ser>
          <c:idx val="17"/>
          <c:order val="17"/>
          <c:tx>
            <c:strRef>
              <c:f>Graficos!$A$355</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Graficos!$B$355</c:f>
              <c:numCache>
                <c:formatCode>h:mm:ss</c:formatCode>
                <c:ptCount val="1"/>
                <c:pt idx="0">
                  <c:v>0</c:v>
                </c:pt>
              </c:numCache>
            </c:numRef>
          </c:xVal>
          <c:yVal>
            <c:numRef>
              <c:f>Graficos!$C$355</c:f>
              <c:numCache>
                <c:formatCode>0.00</c:formatCode>
                <c:ptCount val="1"/>
                <c:pt idx="0">
                  <c:v>0</c:v>
                </c:pt>
              </c:numCache>
            </c:numRef>
          </c:yVal>
          <c:bubbleSize>
            <c:numRef>
              <c:f>Graficos!$E$355</c:f>
              <c:numCache>
                <c:formatCode>0.0</c:formatCode>
                <c:ptCount val="1"/>
                <c:pt idx="0">
                  <c:v>0</c:v>
                </c:pt>
              </c:numCache>
            </c:numRef>
          </c:bubbleSize>
          <c:bubble3D val="0"/>
          <c:extLst>
            <c:ext xmlns:c16="http://schemas.microsoft.com/office/drawing/2014/chart" uri="{C3380CC4-5D6E-409C-BE32-E72D297353CC}">
              <c16:uniqueId val="{00000011-45B6-4C4D-BC7D-4CBBB477DE29}"/>
            </c:ext>
          </c:extLst>
        </c:ser>
        <c:ser>
          <c:idx val="18"/>
          <c:order val="18"/>
          <c:tx>
            <c:strRef>
              <c:f>Graficos!$A$356</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Graficos!$B$356</c:f>
              <c:numCache>
                <c:formatCode>h:mm:ss</c:formatCode>
                <c:ptCount val="1"/>
                <c:pt idx="0">
                  <c:v>0</c:v>
                </c:pt>
              </c:numCache>
            </c:numRef>
          </c:xVal>
          <c:yVal>
            <c:numRef>
              <c:f>Graficos!$C$356</c:f>
              <c:numCache>
                <c:formatCode>0.00</c:formatCode>
                <c:ptCount val="1"/>
                <c:pt idx="0">
                  <c:v>0</c:v>
                </c:pt>
              </c:numCache>
            </c:numRef>
          </c:yVal>
          <c:bubbleSize>
            <c:numRef>
              <c:f>Graficos!$E$356</c:f>
              <c:numCache>
                <c:formatCode>0.0</c:formatCode>
                <c:ptCount val="1"/>
                <c:pt idx="0">
                  <c:v>0</c:v>
                </c:pt>
              </c:numCache>
            </c:numRef>
          </c:bubbleSize>
          <c:bubble3D val="0"/>
          <c:extLst>
            <c:ext xmlns:c16="http://schemas.microsoft.com/office/drawing/2014/chart" uri="{C3380CC4-5D6E-409C-BE32-E72D297353CC}">
              <c16:uniqueId val="{00000012-45B6-4C4D-BC7D-4CBBB477DE29}"/>
            </c:ext>
          </c:extLst>
        </c:ser>
        <c:ser>
          <c:idx val="19"/>
          <c:order val="19"/>
          <c:tx>
            <c:strRef>
              <c:f>Graficos!$A$357</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Graficos!$B$357</c:f>
              <c:numCache>
                <c:formatCode>h:mm:ss</c:formatCode>
                <c:ptCount val="1"/>
                <c:pt idx="0">
                  <c:v>1</c:v>
                </c:pt>
              </c:numCache>
            </c:numRef>
          </c:xVal>
          <c:yVal>
            <c:numRef>
              <c:f>Graficos!$C$357</c:f>
              <c:numCache>
                <c:formatCode>0.00</c:formatCode>
                <c:ptCount val="1"/>
              </c:numCache>
            </c:numRef>
          </c:yVal>
          <c:bubbleSize>
            <c:numRef>
              <c:f>Graficos!$E$357</c:f>
              <c:numCache>
                <c:formatCode>0.0</c:formatCode>
                <c:ptCount val="1"/>
              </c:numCache>
            </c:numRef>
          </c:bubbleSize>
          <c:bubble3D val="0"/>
          <c:extLst>
            <c:ext xmlns:c16="http://schemas.microsoft.com/office/drawing/2014/chart" uri="{C3380CC4-5D6E-409C-BE32-E72D297353CC}">
              <c16:uniqueId val="{00000013-45B6-4C4D-BC7D-4CBBB477DE29}"/>
            </c:ext>
          </c:extLst>
        </c:ser>
        <c:dLbls>
          <c:showLegendKey val="0"/>
          <c:showVal val="0"/>
          <c:showCatName val="0"/>
          <c:showSerName val="0"/>
          <c:showPercent val="0"/>
          <c:showBubbleSize val="0"/>
        </c:dLbls>
        <c:bubbleScale val="100"/>
        <c:showNegBubbles val="1"/>
        <c:axId val="482653522"/>
        <c:axId val="2096607682"/>
      </c:bubbleChart>
      <c:valAx>
        <c:axId val="4826535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h:mm:ss" sourceLinked="1"/>
        <c:majorTickMark val="none"/>
        <c:minorTickMark val="none"/>
        <c:tickLblPos val="nextTo"/>
        <c:spPr>
          <a:ln/>
        </c:spPr>
        <c:txPr>
          <a:bodyPr rot="-3600000"/>
          <a:lstStyle/>
          <a:p>
            <a:pPr lvl="0">
              <a:defRPr b="0">
                <a:solidFill>
                  <a:srgbClr val="000000"/>
                </a:solidFill>
                <a:latin typeface="+mn-lt"/>
              </a:defRPr>
            </a:pPr>
            <a:endParaRPr lang="pt-BR"/>
          </a:p>
        </c:txPr>
        <c:crossAx val="2096607682"/>
        <c:crosses val="autoZero"/>
        <c:crossBetween val="midCat"/>
      </c:valAx>
      <c:valAx>
        <c:axId val="2096607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kcal</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482653522"/>
        <c:crosses val="autoZero"/>
        <c:crossBetween val="midCat"/>
      </c:valAx>
    </c:plotArea>
    <c:legend>
      <c:legendPos val="t"/>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1"/>
        <c:ser>
          <c:idx val="0"/>
          <c:order val="0"/>
          <c:tx>
            <c:strRef>
              <c:f>Graficos!$A$2</c:f>
              <c:strCache>
                <c:ptCount val="1"/>
                <c:pt idx="0">
                  <c:v>Peso (kg)</c:v>
                </c:pt>
              </c:strCache>
            </c:strRef>
          </c:tx>
          <c:spPr>
            <a:ln w="19050" cmpd="sng">
              <a:solidFill>
                <a:srgbClr val="4285F4"/>
              </a:solidFill>
            </a:ln>
          </c:spPr>
          <c:marker>
            <c:symbol val="none"/>
          </c:marker>
          <c:cat>
            <c:strRef>
              <c:f>Graficos!$B$1:$P$1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Graficos!$B$2:$P$2</c:f>
              <c:numCache>
                <c:formatCode>0.0</c:formatCode>
                <c:ptCount val="15"/>
                <c:pt idx="0">
                  <c:v>75.7</c:v>
                </c:pt>
                <c:pt idx="1">
                  <c:v>68</c:v>
                </c:pt>
                <c:pt idx="2">
                  <c:v>62.7</c:v>
                </c:pt>
                <c:pt idx="3">
                  <c:v>64.900000000000006</c:v>
                </c:pt>
                <c:pt idx="4">
                  <c:v>67.7</c:v>
                </c:pt>
                <c:pt idx="5">
                  <c:v>67.599999999999994</c:v>
                </c:pt>
                <c:pt idx="6">
                  <c:v>67.599999999999994</c:v>
                </c:pt>
                <c:pt idx="7">
                  <c:v>70.7</c:v>
                </c:pt>
                <c:pt idx="8">
                  <c:v>69</c:v>
                </c:pt>
                <c:pt idx="9">
                  <c:v>68.599999999999994</c:v>
                </c:pt>
                <c:pt idx="10">
                  <c:v>67</c:v>
                </c:pt>
                <c:pt idx="11">
                  <c:v>70</c:v>
                </c:pt>
                <c:pt idx="12" formatCode="General">
                  <c:v>70</c:v>
                </c:pt>
                <c:pt idx="13" formatCode="General">
                  <c:v>70</c:v>
                </c:pt>
                <c:pt idx="14" formatCode="General">
                  <c:v>70</c:v>
                </c:pt>
              </c:numCache>
            </c:numRef>
          </c:val>
          <c:smooth val="1"/>
          <c:extLst>
            <c:ext xmlns:c16="http://schemas.microsoft.com/office/drawing/2014/chart" uri="{C3380CC4-5D6E-409C-BE32-E72D297353CC}">
              <c16:uniqueId val="{00000000-5673-4E32-83CD-EF011B47B094}"/>
            </c:ext>
          </c:extLst>
        </c:ser>
        <c:ser>
          <c:idx val="1"/>
          <c:order val="1"/>
          <c:tx>
            <c:strRef>
              <c:f>Graficos!$A$3</c:f>
              <c:strCache>
                <c:ptCount val="1"/>
                <c:pt idx="0">
                  <c:v>Massa Magra (kg)</c:v>
                </c:pt>
              </c:strCache>
            </c:strRef>
          </c:tx>
          <c:spPr>
            <a:ln w="19050" cmpd="sng">
              <a:solidFill>
                <a:srgbClr val="EA4335"/>
              </a:solidFill>
            </a:ln>
          </c:spPr>
          <c:marker>
            <c:symbol val="none"/>
          </c:marker>
          <c:cat>
            <c:strRef>
              <c:f>Graficos!$B$1:$P$1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Graficos!$B$3:$P$3</c:f>
              <c:numCache>
                <c:formatCode>0.0</c:formatCode>
                <c:ptCount val="15"/>
                <c:pt idx="0">
                  <c:v>61.415519935570174</c:v>
                </c:pt>
                <c:pt idx="1">
                  <c:v>62.605133732249072</c:v>
                </c:pt>
                <c:pt idx="2">
                  <c:v>59.501742213944944</c:v>
                </c:pt>
                <c:pt idx="3">
                  <c:v>62.048742756030691</c:v>
                </c:pt>
                <c:pt idx="4">
                  <c:v>62.595107428299599</c:v>
                </c:pt>
                <c:pt idx="5">
                  <c:v>65.454973773529318</c:v>
                </c:pt>
                <c:pt idx="6">
                  <c:v>65.241269214411204</c:v>
                </c:pt>
                <c:pt idx="7">
                  <c:v>65.531583807224237</c:v>
                </c:pt>
                <c:pt idx="8">
                  <c:v>64.158367452075382</c:v>
                </c:pt>
                <c:pt idx="9">
                  <c:v>63.86825951586416</c:v>
                </c:pt>
                <c:pt idx="10">
                  <c:v>63.863708685487602</c:v>
                </c:pt>
                <c:pt idx="11">
                  <c:v>66.873907801420273</c:v>
                </c:pt>
                <c:pt idx="12" formatCode="General">
                  <c:v>0</c:v>
                </c:pt>
                <c:pt idx="13" formatCode="General">
                  <c:v>0</c:v>
                </c:pt>
                <c:pt idx="14" formatCode="General">
                  <c:v>0</c:v>
                </c:pt>
              </c:numCache>
            </c:numRef>
          </c:val>
          <c:smooth val="1"/>
          <c:extLst>
            <c:ext xmlns:c16="http://schemas.microsoft.com/office/drawing/2014/chart" uri="{C3380CC4-5D6E-409C-BE32-E72D297353CC}">
              <c16:uniqueId val="{00000001-5673-4E32-83CD-EF011B47B094}"/>
            </c:ext>
          </c:extLst>
        </c:ser>
        <c:ser>
          <c:idx val="2"/>
          <c:order val="2"/>
          <c:tx>
            <c:strRef>
              <c:f>Graficos!$A$4</c:f>
              <c:strCache>
                <c:ptCount val="1"/>
                <c:pt idx="0">
                  <c:v>Gordura Absoluta (kg)</c:v>
                </c:pt>
              </c:strCache>
            </c:strRef>
          </c:tx>
          <c:spPr>
            <a:ln w="19050" cmpd="sng">
              <a:solidFill>
                <a:srgbClr val="FBBC04"/>
              </a:solidFill>
            </a:ln>
          </c:spPr>
          <c:marker>
            <c:symbol val="none"/>
          </c:marker>
          <c:cat>
            <c:strRef>
              <c:f>Graficos!$B$1:$P$1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Graficos!$B$4:$P$4</c:f>
              <c:numCache>
                <c:formatCode>0.0</c:formatCode>
                <c:ptCount val="15"/>
                <c:pt idx="0">
                  <c:v>14.284480064429831</c:v>
                </c:pt>
                <c:pt idx="1">
                  <c:v>5.3948662677509311</c:v>
                </c:pt>
                <c:pt idx="2">
                  <c:v>3.1982577860550618</c:v>
                </c:pt>
                <c:pt idx="3">
                  <c:v>2.8512572439693162</c:v>
                </c:pt>
                <c:pt idx="4">
                  <c:v>5.1048925717004012</c:v>
                </c:pt>
                <c:pt idx="5">
                  <c:v>2.1450262264706708</c:v>
                </c:pt>
                <c:pt idx="6">
                  <c:v>2.3587307855887936</c:v>
                </c:pt>
                <c:pt idx="7">
                  <c:v>5.168416192775763</c:v>
                </c:pt>
                <c:pt idx="8">
                  <c:v>4.8416325479246138</c:v>
                </c:pt>
                <c:pt idx="9">
                  <c:v>4.7317404841358313</c:v>
                </c:pt>
                <c:pt idx="10">
                  <c:v>3.1362913145123978</c:v>
                </c:pt>
                <c:pt idx="11">
                  <c:v>3.1260921985797285</c:v>
                </c:pt>
                <c:pt idx="12" formatCode="General">
                  <c:v>0</c:v>
                </c:pt>
                <c:pt idx="13" formatCode="General">
                  <c:v>0</c:v>
                </c:pt>
                <c:pt idx="14" formatCode="General">
                  <c:v>0</c:v>
                </c:pt>
              </c:numCache>
            </c:numRef>
          </c:val>
          <c:smooth val="1"/>
          <c:extLst>
            <c:ext xmlns:c16="http://schemas.microsoft.com/office/drawing/2014/chart" uri="{C3380CC4-5D6E-409C-BE32-E72D297353CC}">
              <c16:uniqueId val="{00000002-5673-4E32-83CD-EF011B47B094}"/>
            </c:ext>
          </c:extLst>
        </c:ser>
        <c:ser>
          <c:idx val="3"/>
          <c:order val="3"/>
          <c:tx>
            <c:strRef>
              <c:f>Graficos!$A$5</c:f>
              <c:strCache>
                <c:ptCount val="1"/>
                <c:pt idx="0">
                  <c:v>% Gordura</c:v>
                </c:pt>
              </c:strCache>
            </c:strRef>
          </c:tx>
          <c:spPr>
            <a:ln w="19050" cmpd="sng">
              <a:solidFill>
                <a:srgbClr val="34A853"/>
              </a:solidFill>
            </a:ln>
          </c:spPr>
          <c:marker>
            <c:symbol val="none"/>
          </c:marker>
          <c:cat>
            <c:strRef>
              <c:f>Graficos!$B$1:$P$1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Graficos!$B$5:$P$5</c:f>
              <c:numCache>
                <c:formatCode>0.0</c:formatCode>
                <c:ptCount val="15"/>
                <c:pt idx="0">
                  <c:v>18.869854774676131</c:v>
                </c:pt>
                <c:pt idx="1">
                  <c:v>7.9336268643396046</c:v>
                </c:pt>
                <c:pt idx="2">
                  <c:v>5.1008896109331126</c:v>
                </c:pt>
                <c:pt idx="3">
                  <c:v>4.3933085423256024</c:v>
                </c:pt>
                <c:pt idx="4">
                  <c:v>7.5404617011822772</c:v>
                </c:pt>
                <c:pt idx="5">
                  <c:v>3.1731157196311699</c:v>
                </c:pt>
                <c:pt idx="6">
                  <c:v>3.4892467242437775</c:v>
                </c:pt>
                <c:pt idx="7">
                  <c:v>7.3103482217478977</c:v>
                </c:pt>
                <c:pt idx="8">
                  <c:v>7.016858765108136</c:v>
                </c:pt>
                <c:pt idx="9">
                  <c:v>6.8975808806644778</c:v>
                </c:pt>
                <c:pt idx="10">
                  <c:v>4.6810318127050721</c:v>
                </c:pt>
                <c:pt idx="11">
                  <c:v>4.4658459979710408</c:v>
                </c:pt>
                <c:pt idx="12" formatCode="General">
                  <c:v>0</c:v>
                </c:pt>
                <c:pt idx="13" formatCode="General">
                  <c:v>0</c:v>
                </c:pt>
                <c:pt idx="14" formatCode="General">
                  <c:v>0</c:v>
                </c:pt>
              </c:numCache>
            </c:numRef>
          </c:val>
          <c:smooth val="1"/>
          <c:extLst>
            <c:ext xmlns:c16="http://schemas.microsoft.com/office/drawing/2014/chart" uri="{C3380CC4-5D6E-409C-BE32-E72D297353CC}">
              <c16:uniqueId val="{00000003-5673-4E32-83CD-EF011B47B094}"/>
            </c:ext>
          </c:extLst>
        </c:ser>
        <c:dLbls>
          <c:showLegendKey val="0"/>
          <c:showVal val="0"/>
          <c:showCatName val="0"/>
          <c:showSerName val="0"/>
          <c:showPercent val="0"/>
          <c:showBubbleSize val="0"/>
        </c:dLbls>
        <c:smooth val="0"/>
        <c:axId val="1043816459"/>
        <c:axId val="1803444360"/>
      </c:lineChart>
      <c:catAx>
        <c:axId val="104381645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803444360"/>
        <c:crosses val="autoZero"/>
        <c:auto val="1"/>
        <c:lblAlgn val="ctr"/>
        <c:lblOffset val="100"/>
        <c:noMultiLvlLbl val="1"/>
      </c:catAx>
      <c:valAx>
        <c:axId val="1803444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1043816459"/>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spPr>
    <a:solidFill>
      <a:srgbClr val="FFFFFF">
        <a:alpha val="0"/>
      </a:srgbClr>
    </a:solidFill>
  </c:sp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1"/>
        <c:ser>
          <c:idx val="0"/>
          <c:order val="0"/>
          <c:tx>
            <c:strRef>
              <c:f>Graficos!$A$9</c:f>
              <c:strCache>
                <c:ptCount val="1"/>
                <c:pt idx="0">
                  <c:v>D.C. Tricipital</c:v>
                </c:pt>
              </c:strCache>
            </c:strRef>
          </c:tx>
          <c:spPr>
            <a:ln cmpd="sng">
              <a:solidFill>
                <a:srgbClr val="4285F4"/>
              </a:solidFill>
            </a:ln>
          </c:spPr>
          <c:marker>
            <c:symbol val="none"/>
          </c:marker>
          <c:cat>
            <c:strRef>
              <c:f>Graficos!$B$8:$P$8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Graficos!$B$9:$P$9</c:f>
              <c:numCache>
                <c:formatCode>0.0</c:formatCode>
                <c:ptCount val="15"/>
                <c:pt idx="0">
                  <c:v>9.6</c:v>
                </c:pt>
                <c:pt idx="1">
                  <c:v>4.2</c:v>
                </c:pt>
                <c:pt idx="2">
                  <c:v>4</c:v>
                </c:pt>
                <c:pt idx="3">
                  <c:v>3.8</c:v>
                </c:pt>
                <c:pt idx="4">
                  <c:v>4</c:v>
                </c:pt>
                <c:pt idx="5">
                  <c:v>3.2</c:v>
                </c:pt>
                <c:pt idx="6">
                  <c:v>3.2</c:v>
                </c:pt>
                <c:pt idx="7">
                  <c:v>3.4</c:v>
                </c:pt>
                <c:pt idx="8">
                  <c:v>3.4</c:v>
                </c:pt>
                <c:pt idx="9">
                  <c:v>3.4</c:v>
                </c:pt>
                <c:pt idx="10">
                  <c:v>3</c:v>
                </c:pt>
                <c:pt idx="11">
                  <c:v>3.4</c:v>
                </c:pt>
                <c:pt idx="12" formatCode="General">
                  <c:v>3.4</c:v>
                </c:pt>
                <c:pt idx="13" formatCode="General">
                  <c:v>3.4</c:v>
                </c:pt>
                <c:pt idx="14" formatCode="General">
                  <c:v>3.4</c:v>
                </c:pt>
              </c:numCache>
            </c:numRef>
          </c:val>
          <c:smooth val="1"/>
          <c:extLst>
            <c:ext xmlns:c16="http://schemas.microsoft.com/office/drawing/2014/chart" uri="{C3380CC4-5D6E-409C-BE32-E72D297353CC}">
              <c16:uniqueId val="{00000000-BF02-440A-B1D1-421DFA761F10}"/>
            </c:ext>
          </c:extLst>
        </c:ser>
        <c:ser>
          <c:idx val="1"/>
          <c:order val="1"/>
          <c:tx>
            <c:strRef>
              <c:f>Graficos!$A$10</c:f>
              <c:strCache>
                <c:ptCount val="1"/>
                <c:pt idx="0">
                  <c:v>D.C. Subescapular</c:v>
                </c:pt>
              </c:strCache>
            </c:strRef>
          </c:tx>
          <c:spPr>
            <a:ln cmpd="sng">
              <a:solidFill>
                <a:srgbClr val="EA4335"/>
              </a:solidFill>
            </a:ln>
          </c:spPr>
          <c:marker>
            <c:symbol val="none"/>
          </c:marker>
          <c:cat>
            <c:strRef>
              <c:f>Graficos!$B$8:$P$8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Graficos!$B$10:$P$10</c:f>
              <c:numCache>
                <c:formatCode>0.0</c:formatCode>
                <c:ptCount val="15"/>
                <c:pt idx="0">
                  <c:v>29</c:v>
                </c:pt>
                <c:pt idx="1">
                  <c:v>17.2</c:v>
                </c:pt>
                <c:pt idx="2">
                  <c:v>10.3</c:v>
                </c:pt>
                <c:pt idx="3">
                  <c:v>9.1999999999999993</c:v>
                </c:pt>
                <c:pt idx="4">
                  <c:v>13</c:v>
                </c:pt>
                <c:pt idx="5">
                  <c:v>10.4</c:v>
                </c:pt>
                <c:pt idx="6">
                  <c:v>10.4</c:v>
                </c:pt>
                <c:pt idx="7">
                  <c:v>15.1</c:v>
                </c:pt>
                <c:pt idx="8">
                  <c:v>14.1</c:v>
                </c:pt>
                <c:pt idx="9">
                  <c:v>12.4</c:v>
                </c:pt>
                <c:pt idx="10">
                  <c:v>11</c:v>
                </c:pt>
                <c:pt idx="11">
                  <c:v>12.4</c:v>
                </c:pt>
                <c:pt idx="12" formatCode="General">
                  <c:v>12.4</c:v>
                </c:pt>
                <c:pt idx="13" formatCode="General">
                  <c:v>12.4</c:v>
                </c:pt>
                <c:pt idx="14" formatCode="General">
                  <c:v>12.4</c:v>
                </c:pt>
              </c:numCache>
            </c:numRef>
          </c:val>
          <c:smooth val="1"/>
          <c:extLst>
            <c:ext xmlns:c16="http://schemas.microsoft.com/office/drawing/2014/chart" uri="{C3380CC4-5D6E-409C-BE32-E72D297353CC}">
              <c16:uniqueId val="{00000001-BF02-440A-B1D1-421DFA761F10}"/>
            </c:ext>
          </c:extLst>
        </c:ser>
        <c:ser>
          <c:idx val="2"/>
          <c:order val="2"/>
          <c:tx>
            <c:strRef>
              <c:f>Graficos!$A$11</c:f>
              <c:strCache>
                <c:ptCount val="1"/>
                <c:pt idx="0">
                  <c:v>D.C. Suprailíaca</c:v>
                </c:pt>
              </c:strCache>
            </c:strRef>
          </c:tx>
          <c:spPr>
            <a:ln cmpd="sng">
              <a:solidFill>
                <a:srgbClr val="FBBC04"/>
              </a:solidFill>
            </a:ln>
          </c:spPr>
          <c:marker>
            <c:symbol val="none"/>
          </c:marker>
          <c:cat>
            <c:strRef>
              <c:f>Graficos!$B$8:$P$8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Graficos!$B$11:$P$11</c:f>
              <c:numCache>
                <c:formatCode>0.0</c:formatCode>
                <c:ptCount val="15"/>
                <c:pt idx="0">
                  <c:v>11.4</c:v>
                </c:pt>
                <c:pt idx="1">
                  <c:v>4.5</c:v>
                </c:pt>
                <c:pt idx="2">
                  <c:v>4.0999999999999996</c:v>
                </c:pt>
                <c:pt idx="3">
                  <c:v>3.9</c:v>
                </c:pt>
                <c:pt idx="4">
                  <c:v>4.5</c:v>
                </c:pt>
                <c:pt idx="5">
                  <c:v>3.9</c:v>
                </c:pt>
                <c:pt idx="6">
                  <c:v>3.8</c:v>
                </c:pt>
                <c:pt idx="7">
                  <c:v>4.8</c:v>
                </c:pt>
                <c:pt idx="8">
                  <c:v>4.5999999999999996</c:v>
                </c:pt>
                <c:pt idx="9">
                  <c:v>4.3</c:v>
                </c:pt>
                <c:pt idx="10">
                  <c:v>4.2</c:v>
                </c:pt>
                <c:pt idx="11">
                  <c:v>4</c:v>
                </c:pt>
                <c:pt idx="12" formatCode="General">
                  <c:v>4</c:v>
                </c:pt>
                <c:pt idx="13" formatCode="General">
                  <c:v>4</c:v>
                </c:pt>
                <c:pt idx="14" formatCode="General">
                  <c:v>4</c:v>
                </c:pt>
              </c:numCache>
            </c:numRef>
          </c:val>
          <c:smooth val="1"/>
          <c:extLst>
            <c:ext xmlns:c16="http://schemas.microsoft.com/office/drawing/2014/chart" uri="{C3380CC4-5D6E-409C-BE32-E72D297353CC}">
              <c16:uniqueId val="{00000002-BF02-440A-B1D1-421DFA761F10}"/>
            </c:ext>
          </c:extLst>
        </c:ser>
        <c:ser>
          <c:idx val="3"/>
          <c:order val="3"/>
          <c:tx>
            <c:strRef>
              <c:f>Graficos!$A$12</c:f>
              <c:strCache>
                <c:ptCount val="1"/>
                <c:pt idx="0">
                  <c:v>D.C. Abdominal</c:v>
                </c:pt>
              </c:strCache>
            </c:strRef>
          </c:tx>
          <c:spPr>
            <a:ln cmpd="sng">
              <a:solidFill>
                <a:srgbClr val="34A853"/>
              </a:solidFill>
            </a:ln>
          </c:spPr>
          <c:marker>
            <c:symbol val="none"/>
          </c:marker>
          <c:cat>
            <c:strRef>
              <c:f>Graficos!$B$8:$P$8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Graficos!$B$12:$P$12</c:f>
              <c:numCache>
                <c:formatCode>0.0</c:formatCode>
                <c:ptCount val="15"/>
                <c:pt idx="0">
                  <c:v>32</c:v>
                </c:pt>
                <c:pt idx="1">
                  <c:v>13.6</c:v>
                </c:pt>
                <c:pt idx="2">
                  <c:v>9.6</c:v>
                </c:pt>
                <c:pt idx="3">
                  <c:v>9</c:v>
                </c:pt>
                <c:pt idx="4">
                  <c:v>13.1</c:v>
                </c:pt>
                <c:pt idx="5">
                  <c:v>8</c:v>
                </c:pt>
                <c:pt idx="6">
                  <c:v>8.5</c:v>
                </c:pt>
                <c:pt idx="7">
                  <c:v>13</c:v>
                </c:pt>
                <c:pt idx="8">
                  <c:v>12.7</c:v>
                </c:pt>
                <c:pt idx="9">
                  <c:v>12.8</c:v>
                </c:pt>
                <c:pt idx="10">
                  <c:v>9.9</c:v>
                </c:pt>
                <c:pt idx="11">
                  <c:v>9.4</c:v>
                </c:pt>
                <c:pt idx="12" formatCode="General">
                  <c:v>9.4</c:v>
                </c:pt>
                <c:pt idx="13" formatCode="General">
                  <c:v>9.4</c:v>
                </c:pt>
                <c:pt idx="14" formatCode="General">
                  <c:v>9.4</c:v>
                </c:pt>
              </c:numCache>
            </c:numRef>
          </c:val>
          <c:smooth val="1"/>
          <c:extLst>
            <c:ext xmlns:c16="http://schemas.microsoft.com/office/drawing/2014/chart" uri="{C3380CC4-5D6E-409C-BE32-E72D297353CC}">
              <c16:uniqueId val="{00000003-BF02-440A-B1D1-421DFA761F10}"/>
            </c:ext>
          </c:extLst>
        </c:ser>
        <c:ser>
          <c:idx val="4"/>
          <c:order val="4"/>
          <c:tx>
            <c:strRef>
              <c:f>Graficos!$A$13</c:f>
              <c:strCache>
                <c:ptCount val="1"/>
                <c:pt idx="0">
                  <c:v>D.C. Coxa</c:v>
                </c:pt>
              </c:strCache>
            </c:strRef>
          </c:tx>
          <c:spPr>
            <a:ln cmpd="sng">
              <a:solidFill>
                <a:srgbClr val="FF6D01"/>
              </a:solidFill>
            </a:ln>
          </c:spPr>
          <c:marker>
            <c:symbol val="none"/>
          </c:marker>
          <c:cat>
            <c:strRef>
              <c:f>Graficos!$B$8:$P$8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Graficos!$B$13:$P$13</c:f>
              <c:numCache>
                <c:formatCode>0.0</c:formatCode>
                <c:ptCount val="15"/>
                <c:pt idx="0">
                  <c:v>7.7</c:v>
                </c:pt>
                <c:pt idx="1">
                  <c:v>5.7</c:v>
                </c:pt>
                <c:pt idx="2">
                  <c:v>4</c:v>
                </c:pt>
                <c:pt idx="3">
                  <c:v>4.2</c:v>
                </c:pt>
                <c:pt idx="4">
                  <c:v>4.8</c:v>
                </c:pt>
                <c:pt idx="5">
                  <c:v>4.7</c:v>
                </c:pt>
                <c:pt idx="6">
                  <c:v>3.5</c:v>
                </c:pt>
                <c:pt idx="7">
                  <c:v>4.9000000000000004</c:v>
                </c:pt>
                <c:pt idx="8">
                  <c:v>4.7</c:v>
                </c:pt>
                <c:pt idx="9">
                  <c:v>5</c:v>
                </c:pt>
                <c:pt idx="10">
                  <c:v>4.8</c:v>
                </c:pt>
                <c:pt idx="11">
                  <c:v>4.2</c:v>
                </c:pt>
                <c:pt idx="12" formatCode="General">
                  <c:v>4.2</c:v>
                </c:pt>
                <c:pt idx="13" formatCode="General">
                  <c:v>4.2</c:v>
                </c:pt>
                <c:pt idx="14" formatCode="General">
                  <c:v>4.2</c:v>
                </c:pt>
              </c:numCache>
            </c:numRef>
          </c:val>
          <c:smooth val="1"/>
          <c:extLst>
            <c:ext xmlns:c16="http://schemas.microsoft.com/office/drawing/2014/chart" uri="{C3380CC4-5D6E-409C-BE32-E72D297353CC}">
              <c16:uniqueId val="{00000004-BF02-440A-B1D1-421DFA761F10}"/>
            </c:ext>
          </c:extLst>
        </c:ser>
        <c:dLbls>
          <c:showLegendKey val="0"/>
          <c:showVal val="0"/>
          <c:showCatName val="0"/>
          <c:showSerName val="0"/>
          <c:showPercent val="0"/>
          <c:showBubbleSize val="0"/>
        </c:dLbls>
        <c:smooth val="0"/>
        <c:axId val="1269618794"/>
        <c:axId val="469800706"/>
      </c:lineChart>
      <c:catAx>
        <c:axId val="126961879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469800706"/>
        <c:crosses val="autoZero"/>
        <c:auto val="1"/>
        <c:lblAlgn val="ctr"/>
        <c:lblOffset val="100"/>
        <c:noMultiLvlLbl val="1"/>
      </c:catAx>
      <c:valAx>
        <c:axId val="4698007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1269618794"/>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spPr>
    <a:solidFill>
      <a:srgbClr val="FFFFFF">
        <a:alpha val="0"/>
      </a:srgbClr>
    </a:solidFill>
  </c:sp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1"/>
        <c:ser>
          <c:idx val="0"/>
          <c:order val="0"/>
          <c:tx>
            <c:strRef>
              <c:f>Graficos!$A$25</c:f>
              <c:strCache>
                <c:ptCount val="1"/>
                <c:pt idx="0">
                  <c:v>M. Perna Direita</c:v>
                </c:pt>
              </c:strCache>
            </c:strRef>
          </c:tx>
          <c:spPr>
            <a:ln cmpd="sng">
              <a:solidFill>
                <a:srgbClr val="4285F4"/>
              </a:solidFill>
            </a:ln>
          </c:spPr>
          <c:marker>
            <c:symbol val="none"/>
          </c:marker>
          <c:cat>
            <c:strRef>
              <c:f>Graficos!$B$24:$P$24</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Graficos!$B$25:$P$25</c:f>
              <c:numCache>
                <c:formatCode>0.0</c:formatCode>
                <c:ptCount val="15"/>
                <c:pt idx="0">
                  <c:v>9.16</c:v>
                </c:pt>
                <c:pt idx="1">
                  <c:v>9.1199999999999992</c:v>
                </c:pt>
                <c:pt idx="2">
                  <c:v>8.86</c:v>
                </c:pt>
                <c:pt idx="3">
                  <c:v>9.27</c:v>
                </c:pt>
                <c:pt idx="4">
                  <c:v>9.5399999999999991</c:v>
                </c:pt>
                <c:pt idx="5">
                  <c:v>9.74</c:v>
                </c:pt>
                <c:pt idx="6">
                  <c:v>10.199999999999999</c:v>
                </c:pt>
                <c:pt idx="7">
                  <c:v>10.199999999999999</c:v>
                </c:pt>
                <c:pt idx="8">
                  <c:v>9.8000000000000007</c:v>
                </c:pt>
                <c:pt idx="9">
                  <c:v>9.8000000000000007</c:v>
                </c:pt>
                <c:pt idx="10">
                  <c:v>9.9</c:v>
                </c:pt>
                <c:pt idx="11">
                  <c:v>10</c:v>
                </c:pt>
                <c:pt idx="12">
                  <c:v>10</c:v>
                </c:pt>
                <c:pt idx="13">
                  <c:v>10</c:v>
                </c:pt>
                <c:pt idx="14">
                  <c:v>10</c:v>
                </c:pt>
              </c:numCache>
            </c:numRef>
          </c:val>
          <c:smooth val="1"/>
          <c:extLst>
            <c:ext xmlns:c16="http://schemas.microsoft.com/office/drawing/2014/chart" uri="{C3380CC4-5D6E-409C-BE32-E72D297353CC}">
              <c16:uniqueId val="{00000000-CBF6-4BDD-B5FD-864C8AD733C3}"/>
            </c:ext>
          </c:extLst>
        </c:ser>
        <c:ser>
          <c:idx val="1"/>
          <c:order val="1"/>
          <c:tx>
            <c:strRef>
              <c:f>Graficos!$A$26</c:f>
              <c:strCache>
                <c:ptCount val="1"/>
                <c:pt idx="0">
                  <c:v>M. Perna Esquerda</c:v>
                </c:pt>
              </c:strCache>
            </c:strRef>
          </c:tx>
          <c:spPr>
            <a:ln cmpd="sng">
              <a:solidFill>
                <a:srgbClr val="EA4335"/>
              </a:solidFill>
            </a:ln>
          </c:spPr>
          <c:marker>
            <c:symbol val="none"/>
          </c:marker>
          <c:cat>
            <c:strRef>
              <c:f>Graficos!$B$24:$P$24</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Graficos!$B$26:$P$26</c:f>
              <c:numCache>
                <c:formatCode>0.0</c:formatCode>
                <c:ptCount val="15"/>
                <c:pt idx="0">
                  <c:v>9.1300000000000008</c:v>
                </c:pt>
                <c:pt idx="1">
                  <c:v>9.0399999999999991</c:v>
                </c:pt>
                <c:pt idx="2">
                  <c:v>8.7899999999999991</c:v>
                </c:pt>
                <c:pt idx="3">
                  <c:v>9.2100000000000009</c:v>
                </c:pt>
                <c:pt idx="4">
                  <c:v>9.5299999999999994</c:v>
                </c:pt>
                <c:pt idx="5">
                  <c:v>9.77</c:v>
                </c:pt>
                <c:pt idx="6">
                  <c:v>10.199999999999999</c:v>
                </c:pt>
                <c:pt idx="7">
                  <c:v>10.199999999999999</c:v>
                </c:pt>
                <c:pt idx="8">
                  <c:v>9.8000000000000007</c:v>
                </c:pt>
                <c:pt idx="9">
                  <c:v>9.8000000000000007</c:v>
                </c:pt>
                <c:pt idx="10">
                  <c:v>9.9</c:v>
                </c:pt>
                <c:pt idx="11">
                  <c:v>9.9</c:v>
                </c:pt>
                <c:pt idx="12">
                  <c:v>9.9</c:v>
                </c:pt>
                <c:pt idx="13">
                  <c:v>9.9</c:v>
                </c:pt>
                <c:pt idx="14">
                  <c:v>9.9</c:v>
                </c:pt>
              </c:numCache>
            </c:numRef>
          </c:val>
          <c:smooth val="1"/>
          <c:extLst>
            <c:ext xmlns:c16="http://schemas.microsoft.com/office/drawing/2014/chart" uri="{C3380CC4-5D6E-409C-BE32-E72D297353CC}">
              <c16:uniqueId val="{00000001-CBF6-4BDD-B5FD-864C8AD733C3}"/>
            </c:ext>
          </c:extLst>
        </c:ser>
        <c:ser>
          <c:idx val="2"/>
          <c:order val="2"/>
          <c:tx>
            <c:strRef>
              <c:f>Graficos!$A$27</c:f>
              <c:strCache>
                <c:ptCount val="1"/>
                <c:pt idx="0">
                  <c:v>M. Braço Direito</c:v>
                </c:pt>
              </c:strCache>
            </c:strRef>
          </c:tx>
          <c:spPr>
            <a:ln cmpd="sng">
              <a:solidFill>
                <a:srgbClr val="FBBC04"/>
              </a:solidFill>
            </a:ln>
          </c:spPr>
          <c:marker>
            <c:symbol val="none"/>
          </c:marker>
          <c:cat>
            <c:strRef>
              <c:f>Graficos!$B$24:$P$24</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Graficos!$B$27:$P$27</c:f>
              <c:numCache>
                <c:formatCode>0.0</c:formatCode>
                <c:ptCount val="15"/>
                <c:pt idx="0">
                  <c:v>2.88</c:v>
                </c:pt>
                <c:pt idx="1">
                  <c:v>2.83</c:v>
                </c:pt>
                <c:pt idx="2">
                  <c:v>2.78</c:v>
                </c:pt>
                <c:pt idx="3">
                  <c:v>3.11</c:v>
                </c:pt>
                <c:pt idx="4">
                  <c:v>3.06</c:v>
                </c:pt>
                <c:pt idx="5">
                  <c:v>2.98</c:v>
                </c:pt>
                <c:pt idx="6">
                  <c:v>3.2</c:v>
                </c:pt>
                <c:pt idx="7">
                  <c:v>3.2</c:v>
                </c:pt>
                <c:pt idx="8">
                  <c:v>3.1</c:v>
                </c:pt>
                <c:pt idx="9">
                  <c:v>3.1</c:v>
                </c:pt>
                <c:pt idx="10">
                  <c:v>3.1</c:v>
                </c:pt>
                <c:pt idx="11">
                  <c:v>3</c:v>
                </c:pt>
                <c:pt idx="12">
                  <c:v>3</c:v>
                </c:pt>
                <c:pt idx="13">
                  <c:v>3</c:v>
                </c:pt>
                <c:pt idx="14">
                  <c:v>3</c:v>
                </c:pt>
              </c:numCache>
            </c:numRef>
          </c:val>
          <c:smooth val="1"/>
          <c:extLst>
            <c:ext xmlns:c16="http://schemas.microsoft.com/office/drawing/2014/chart" uri="{C3380CC4-5D6E-409C-BE32-E72D297353CC}">
              <c16:uniqueId val="{00000002-CBF6-4BDD-B5FD-864C8AD733C3}"/>
            </c:ext>
          </c:extLst>
        </c:ser>
        <c:ser>
          <c:idx val="3"/>
          <c:order val="3"/>
          <c:tx>
            <c:strRef>
              <c:f>Graficos!$A$28</c:f>
              <c:strCache>
                <c:ptCount val="1"/>
                <c:pt idx="0">
                  <c:v>M. Braço Esquerdo</c:v>
                </c:pt>
              </c:strCache>
            </c:strRef>
          </c:tx>
          <c:spPr>
            <a:ln cmpd="sng">
              <a:solidFill>
                <a:srgbClr val="34A853"/>
              </a:solidFill>
            </a:ln>
          </c:spPr>
          <c:marker>
            <c:symbol val="none"/>
          </c:marker>
          <c:cat>
            <c:strRef>
              <c:f>Graficos!$B$24:$P$24</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Graficos!$B$28:$P$28</c:f>
              <c:numCache>
                <c:formatCode>0.0</c:formatCode>
                <c:ptCount val="15"/>
                <c:pt idx="0">
                  <c:v>2.76</c:v>
                </c:pt>
                <c:pt idx="1">
                  <c:v>2.79</c:v>
                </c:pt>
                <c:pt idx="2">
                  <c:v>2.75</c:v>
                </c:pt>
                <c:pt idx="3">
                  <c:v>2.98</c:v>
                </c:pt>
                <c:pt idx="4">
                  <c:v>2.98</c:v>
                </c:pt>
                <c:pt idx="5">
                  <c:v>2.97</c:v>
                </c:pt>
                <c:pt idx="6">
                  <c:v>3.2</c:v>
                </c:pt>
                <c:pt idx="7">
                  <c:v>3.2</c:v>
                </c:pt>
                <c:pt idx="8">
                  <c:v>3.1</c:v>
                </c:pt>
                <c:pt idx="9">
                  <c:v>3.1</c:v>
                </c:pt>
                <c:pt idx="10">
                  <c:v>3.1</c:v>
                </c:pt>
                <c:pt idx="11">
                  <c:v>3</c:v>
                </c:pt>
                <c:pt idx="12">
                  <c:v>3</c:v>
                </c:pt>
                <c:pt idx="13">
                  <c:v>3</c:v>
                </c:pt>
                <c:pt idx="14">
                  <c:v>3</c:v>
                </c:pt>
              </c:numCache>
            </c:numRef>
          </c:val>
          <c:smooth val="1"/>
          <c:extLst>
            <c:ext xmlns:c16="http://schemas.microsoft.com/office/drawing/2014/chart" uri="{C3380CC4-5D6E-409C-BE32-E72D297353CC}">
              <c16:uniqueId val="{00000003-CBF6-4BDD-B5FD-864C8AD733C3}"/>
            </c:ext>
          </c:extLst>
        </c:ser>
        <c:ser>
          <c:idx val="4"/>
          <c:order val="4"/>
          <c:tx>
            <c:strRef>
              <c:f>Graficos!$A$29</c:f>
              <c:strCache>
                <c:ptCount val="1"/>
                <c:pt idx="0">
                  <c:v>M. Tronco</c:v>
                </c:pt>
              </c:strCache>
            </c:strRef>
          </c:tx>
          <c:spPr>
            <a:ln cmpd="sng">
              <a:solidFill>
                <a:srgbClr val="FF6D01"/>
              </a:solidFill>
            </a:ln>
          </c:spPr>
          <c:marker>
            <c:symbol val="none"/>
          </c:marker>
          <c:cat>
            <c:strRef>
              <c:f>Graficos!$B$24:$P$24</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Graficos!$B$29:$P$29</c:f>
              <c:numCache>
                <c:formatCode>0.0</c:formatCode>
                <c:ptCount val="15"/>
                <c:pt idx="0">
                  <c:v>23.9</c:v>
                </c:pt>
                <c:pt idx="1">
                  <c:v>23.5</c:v>
                </c:pt>
                <c:pt idx="2">
                  <c:v>23.1</c:v>
                </c:pt>
                <c:pt idx="3">
                  <c:v>24.7</c:v>
                </c:pt>
                <c:pt idx="4">
                  <c:v>24.6</c:v>
                </c:pt>
                <c:pt idx="5">
                  <c:v>24.3</c:v>
                </c:pt>
                <c:pt idx="6">
                  <c:v>31.9</c:v>
                </c:pt>
                <c:pt idx="7">
                  <c:v>31.9</c:v>
                </c:pt>
                <c:pt idx="8">
                  <c:v>31.7</c:v>
                </c:pt>
                <c:pt idx="9">
                  <c:v>31.9</c:v>
                </c:pt>
                <c:pt idx="10">
                  <c:v>31.9</c:v>
                </c:pt>
                <c:pt idx="11">
                  <c:v>31.2</c:v>
                </c:pt>
                <c:pt idx="12">
                  <c:v>31.2</c:v>
                </c:pt>
                <c:pt idx="13">
                  <c:v>31.2</c:v>
                </c:pt>
                <c:pt idx="14">
                  <c:v>31.2</c:v>
                </c:pt>
              </c:numCache>
            </c:numRef>
          </c:val>
          <c:smooth val="1"/>
          <c:extLst>
            <c:ext xmlns:c16="http://schemas.microsoft.com/office/drawing/2014/chart" uri="{C3380CC4-5D6E-409C-BE32-E72D297353CC}">
              <c16:uniqueId val="{00000004-CBF6-4BDD-B5FD-864C8AD733C3}"/>
            </c:ext>
          </c:extLst>
        </c:ser>
        <c:dLbls>
          <c:showLegendKey val="0"/>
          <c:showVal val="0"/>
          <c:showCatName val="0"/>
          <c:showSerName val="0"/>
          <c:showPercent val="0"/>
          <c:showBubbleSize val="0"/>
        </c:dLbls>
        <c:smooth val="0"/>
        <c:axId val="1852224626"/>
        <c:axId val="130037239"/>
      </c:lineChart>
      <c:catAx>
        <c:axId val="18522246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30037239"/>
        <c:crosses val="autoZero"/>
        <c:auto val="1"/>
        <c:lblAlgn val="ctr"/>
        <c:lblOffset val="100"/>
        <c:noMultiLvlLbl val="1"/>
      </c:catAx>
      <c:valAx>
        <c:axId val="1300372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1852224626"/>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manualLayout>
          <c:xMode val="edge"/>
          <c:yMode val="edge"/>
          <c:x val="7.1509114583333325E-2"/>
          <c:y val="6.6172506738544482E-2"/>
          <c:w val="0.88924088541666679"/>
          <c:h val="0.72650494159928114"/>
        </c:manualLayout>
      </c:layout>
      <c:lineChart>
        <c:grouping val="standard"/>
        <c:varyColors val="1"/>
        <c:ser>
          <c:idx val="0"/>
          <c:order val="0"/>
          <c:tx>
            <c:strRef>
              <c:f>Graficos!$A$17</c:f>
              <c:strCache>
                <c:ptCount val="1"/>
                <c:pt idx="0">
                  <c:v>G. Perna Direita</c:v>
                </c:pt>
              </c:strCache>
            </c:strRef>
          </c:tx>
          <c:spPr>
            <a:ln cmpd="sng">
              <a:solidFill>
                <a:srgbClr val="4285F4"/>
              </a:solidFill>
            </a:ln>
          </c:spPr>
          <c:marker>
            <c:symbol val="none"/>
          </c:marker>
          <c:cat>
            <c:strRef>
              <c:f>Graficos!$B$16:$P$16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Graficos!$B$17:$P$17</c:f>
              <c:numCache>
                <c:formatCode>0.0</c:formatCode>
                <c:ptCount val="15"/>
                <c:pt idx="0">
                  <c:v>3.3</c:v>
                </c:pt>
                <c:pt idx="1">
                  <c:v>2</c:v>
                </c:pt>
                <c:pt idx="2">
                  <c:v>1.4</c:v>
                </c:pt>
                <c:pt idx="3">
                  <c:v>1.1000000000000001</c:v>
                </c:pt>
                <c:pt idx="4">
                  <c:v>1.5</c:v>
                </c:pt>
                <c:pt idx="5">
                  <c:v>1.3</c:v>
                </c:pt>
                <c:pt idx="6">
                  <c:v>1.1499999999999999</c:v>
                </c:pt>
                <c:pt idx="7">
                  <c:v>1.1499999999999999</c:v>
                </c:pt>
                <c:pt idx="8">
                  <c:v>1.5</c:v>
                </c:pt>
                <c:pt idx="9">
                  <c:v>1.5</c:v>
                </c:pt>
                <c:pt idx="10">
                  <c:v>1.3</c:v>
                </c:pt>
                <c:pt idx="11">
                  <c:v>1.5</c:v>
                </c:pt>
                <c:pt idx="12">
                  <c:v>1.5</c:v>
                </c:pt>
                <c:pt idx="13">
                  <c:v>1.5</c:v>
                </c:pt>
                <c:pt idx="14">
                  <c:v>1.5</c:v>
                </c:pt>
              </c:numCache>
            </c:numRef>
          </c:val>
          <c:smooth val="1"/>
          <c:extLst>
            <c:ext xmlns:c16="http://schemas.microsoft.com/office/drawing/2014/chart" uri="{C3380CC4-5D6E-409C-BE32-E72D297353CC}">
              <c16:uniqueId val="{00000000-279F-4358-8056-535FD034DBF9}"/>
            </c:ext>
          </c:extLst>
        </c:ser>
        <c:ser>
          <c:idx val="1"/>
          <c:order val="1"/>
          <c:tx>
            <c:strRef>
              <c:f>Graficos!$A$18</c:f>
              <c:strCache>
                <c:ptCount val="1"/>
                <c:pt idx="0">
                  <c:v>G. Perna Esquerda</c:v>
                </c:pt>
              </c:strCache>
            </c:strRef>
          </c:tx>
          <c:spPr>
            <a:ln cmpd="sng">
              <a:solidFill>
                <a:srgbClr val="EA4335"/>
              </a:solidFill>
            </a:ln>
          </c:spPr>
          <c:marker>
            <c:symbol val="none"/>
          </c:marker>
          <c:cat>
            <c:strRef>
              <c:f>Graficos!$B$16:$P$16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Graficos!$B$18:$P$18</c:f>
              <c:numCache>
                <c:formatCode>0.0</c:formatCode>
                <c:ptCount val="15"/>
                <c:pt idx="0">
                  <c:v>3.3</c:v>
                </c:pt>
                <c:pt idx="1">
                  <c:v>2</c:v>
                </c:pt>
                <c:pt idx="2">
                  <c:v>1.4</c:v>
                </c:pt>
                <c:pt idx="3">
                  <c:v>1.1000000000000001</c:v>
                </c:pt>
                <c:pt idx="4">
                  <c:v>1.5</c:v>
                </c:pt>
                <c:pt idx="5">
                  <c:v>1.3</c:v>
                </c:pt>
                <c:pt idx="6">
                  <c:v>1.05</c:v>
                </c:pt>
                <c:pt idx="7">
                  <c:v>1.05</c:v>
                </c:pt>
                <c:pt idx="8">
                  <c:v>1.5</c:v>
                </c:pt>
                <c:pt idx="9">
                  <c:v>1.5</c:v>
                </c:pt>
                <c:pt idx="10">
                  <c:v>1.4</c:v>
                </c:pt>
                <c:pt idx="11">
                  <c:v>1.55</c:v>
                </c:pt>
                <c:pt idx="12">
                  <c:v>1.55</c:v>
                </c:pt>
                <c:pt idx="13">
                  <c:v>1.55</c:v>
                </c:pt>
                <c:pt idx="14">
                  <c:v>1.55</c:v>
                </c:pt>
              </c:numCache>
            </c:numRef>
          </c:val>
          <c:smooth val="1"/>
          <c:extLst>
            <c:ext xmlns:c16="http://schemas.microsoft.com/office/drawing/2014/chart" uri="{C3380CC4-5D6E-409C-BE32-E72D297353CC}">
              <c16:uniqueId val="{00000001-279F-4358-8056-535FD034DBF9}"/>
            </c:ext>
          </c:extLst>
        </c:ser>
        <c:ser>
          <c:idx val="2"/>
          <c:order val="2"/>
          <c:tx>
            <c:strRef>
              <c:f>Graficos!$A$19</c:f>
              <c:strCache>
                <c:ptCount val="1"/>
                <c:pt idx="0">
                  <c:v>G. Braço Direito</c:v>
                </c:pt>
              </c:strCache>
            </c:strRef>
          </c:tx>
          <c:spPr>
            <a:ln cmpd="sng">
              <a:solidFill>
                <a:srgbClr val="FBBC04"/>
              </a:solidFill>
            </a:ln>
          </c:spPr>
          <c:marker>
            <c:symbol val="none"/>
          </c:marker>
          <c:cat>
            <c:strRef>
              <c:f>Graficos!$B$16:$P$16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Graficos!$B$19:$P$19</c:f>
              <c:numCache>
                <c:formatCode>0.0</c:formatCode>
                <c:ptCount val="15"/>
                <c:pt idx="0">
                  <c:v>1.3</c:v>
                </c:pt>
                <c:pt idx="1">
                  <c:v>0.6</c:v>
                </c:pt>
                <c:pt idx="2">
                  <c:v>0.4</c:v>
                </c:pt>
                <c:pt idx="3">
                  <c:v>0.2</c:v>
                </c:pt>
                <c:pt idx="4">
                  <c:v>0.4</c:v>
                </c:pt>
                <c:pt idx="5">
                  <c:v>0.3</c:v>
                </c:pt>
                <c:pt idx="6">
                  <c:v>0.3</c:v>
                </c:pt>
                <c:pt idx="7">
                  <c:v>0.35</c:v>
                </c:pt>
                <c:pt idx="8">
                  <c:v>0.65</c:v>
                </c:pt>
                <c:pt idx="9">
                  <c:v>0.65</c:v>
                </c:pt>
                <c:pt idx="10">
                  <c:v>0.6</c:v>
                </c:pt>
                <c:pt idx="11">
                  <c:v>0.7</c:v>
                </c:pt>
                <c:pt idx="12">
                  <c:v>0.7</c:v>
                </c:pt>
                <c:pt idx="13">
                  <c:v>0.7</c:v>
                </c:pt>
                <c:pt idx="14">
                  <c:v>0.7</c:v>
                </c:pt>
              </c:numCache>
            </c:numRef>
          </c:val>
          <c:smooth val="1"/>
          <c:extLst>
            <c:ext xmlns:c16="http://schemas.microsoft.com/office/drawing/2014/chart" uri="{C3380CC4-5D6E-409C-BE32-E72D297353CC}">
              <c16:uniqueId val="{00000002-279F-4358-8056-535FD034DBF9}"/>
            </c:ext>
          </c:extLst>
        </c:ser>
        <c:ser>
          <c:idx val="3"/>
          <c:order val="3"/>
          <c:tx>
            <c:strRef>
              <c:f>Graficos!$A$20</c:f>
              <c:strCache>
                <c:ptCount val="1"/>
                <c:pt idx="0">
                  <c:v>G. Braço Esquerdo</c:v>
                </c:pt>
              </c:strCache>
            </c:strRef>
          </c:tx>
          <c:spPr>
            <a:ln cmpd="sng">
              <a:solidFill>
                <a:srgbClr val="34A853"/>
              </a:solidFill>
            </a:ln>
          </c:spPr>
          <c:marker>
            <c:symbol val="none"/>
          </c:marker>
          <c:cat>
            <c:strRef>
              <c:f>Graficos!$B$16:$P$16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Graficos!$B$20:$P$20</c:f>
              <c:numCache>
                <c:formatCode>0.0</c:formatCode>
                <c:ptCount val="15"/>
                <c:pt idx="0">
                  <c:v>1.3</c:v>
                </c:pt>
                <c:pt idx="1">
                  <c:v>0.6</c:v>
                </c:pt>
                <c:pt idx="2">
                  <c:v>0.4</c:v>
                </c:pt>
                <c:pt idx="3">
                  <c:v>0.3</c:v>
                </c:pt>
                <c:pt idx="4">
                  <c:v>0.4</c:v>
                </c:pt>
                <c:pt idx="5">
                  <c:v>0.3</c:v>
                </c:pt>
                <c:pt idx="6">
                  <c:v>0.3</c:v>
                </c:pt>
                <c:pt idx="7">
                  <c:v>0.4</c:v>
                </c:pt>
                <c:pt idx="8">
                  <c:v>0.65</c:v>
                </c:pt>
                <c:pt idx="9">
                  <c:v>0.65</c:v>
                </c:pt>
                <c:pt idx="10">
                  <c:v>0.65</c:v>
                </c:pt>
                <c:pt idx="11">
                  <c:v>0.75</c:v>
                </c:pt>
                <c:pt idx="12">
                  <c:v>0.75</c:v>
                </c:pt>
                <c:pt idx="13">
                  <c:v>0.75</c:v>
                </c:pt>
                <c:pt idx="14">
                  <c:v>0.75</c:v>
                </c:pt>
              </c:numCache>
            </c:numRef>
          </c:val>
          <c:smooth val="1"/>
          <c:extLst>
            <c:ext xmlns:c16="http://schemas.microsoft.com/office/drawing/2014/chart" uri="{C3380CC4-5D6E-409C-BE32-E72D297353CC}">
              <c16:uniqueId val="{00000003-279F-4358-8056-535FD034DBF9}"/>
            </c:ext>
          </c:extLst>
        </c:ser>
        <c:ser>
          <c:idx val="4"/>
          <c:order val="4"/>
          <c:tx>
            <c:strRef>
              <c:f>Graficos!$A$21</c:f>
              <c:strCache>
                <c:ptCount val="1"/>
                <c:pt idx="0">
                  <c:v>G. Tronco</c:v>
                </c:pt>
              </c:strCache>
            </c:strRef>
          </c:tx>
          <c:spPr>
            <a:ln cmpd="sng">
              <a:solidFill>
                <a:srgbClr val="FF6D01"/>
              </a:solidFill>
            </a:ln>
          </c:spPr>
          <c:marker>
            <c:symbol val="none"/>
          </c:marker>
          <c:cat>
            <c:strRef>
              <c:f>Graficos!$B$16:$P$16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Graficos!$B$21:$P$21</c:f>
              <c:numCache>
                <c:formatCode>0.0</c:formatCode>
                <c:ptCount val="15"/>
                <c:pt idx="0">
                  <c:v>10.5</c:v>
                </c:pt>
                <c:pt idx="1">
                  <c:v>5.8</c:v>
                </c:pt>
                <c:pt idx="2">
                  <c:v>3.4</c:v>
                </c:pt>
                <c:pt idx="3">
                  <c:v>2.4</c:v>
                </c:pt>
                <c:pt idx="4">
                  <c:v>3.9</c:v>
                </c:pt>
                <c:pt idx="5">
                  <c:v>3.2</c:v>
                </c:pt>
                <c:pt idx="6">
                  <c:v>3.2</c:v>
                </c:pt>
                <c:pt idx="7">
                  <c:v>5.95</c:v>
                </c:pt>
                <c:pt idx="8">
                  <c:v>7.3</c:v>
                </c:pt>
                <c:pt idx="9">
                  <c:v>7.2</c:v>
                </c:pt>
                <c:pt idx="10">
                  <c:v>6.95</c:v>
                </c:pt>
                <c:pt idx="11">
                  <c:v>8.6</c:v>
                </c:pt>
                <c:pt idx="12">
                  <c:v>8.6</c:v>
                </c:pt>
                <c:pt idx="13">
                  <c:v>8.6</c:v>
                </c:pt>
                <c:pt idx="14">
                  <c:v>8.6</c:v>
                </c:pt>
              </c:numCache>
            </c:numRef>
          </c:val>
          <c:smooth val="1"/>
          <c:extLst>
            <c:ext xmlns:c16="http://schemas.microsoft.com/office/drawing/2014/chart" uri="{C3380CC4-5D6E-409C-BE32-E72D297353CC}">
              <c16:uniqueId val="{00000004-279F-4358-8056-535FD034DBF9}"/>
            </c:ext>
          </c:extLst>
        </c:ser>
        <c:dLbls>
          <c:showLegendKey val="0"/>
          <c:showVal val="0"/>
          <c:showCatName val="0"/>
          <c:showSerName val="0"/>
          <c:showPercent val="0"/>
          <c:showBubbleSize val="0"/>
        </c:dLbls>
        <c:smooth val="0"/>
        <c:axId val="530019085"/>
        <c:axId val="851514213"/>
      </c:lineChart>
      <c:catAx>
        <c:axId val="5300190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851514213"/>
        <c:crosses val="autoZero"/>
        <c:auto val="1"/>
        <c:lblAlgn val="ctr"/>
        <c:lblOffset val="100"/>
        <c:noMultiLvlLbl val="1"/>
      </c:catAx>
      <c:valAx>
        <c:axId val="851514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530019085"/>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1"/>
        <c:ser>
          <c:idx val="0"/>
          <c:order val="0"/>
          <c:tx>
            <c:strRef>
              <c:f>Graficos!$A$33</c:f>
              <c:strCache>
                <c:ptCount val="1"/>
                <c:pt idx="0">
                  <c:v>Músculos Anteriores do Braço(mm)</c:v>
                </c:pt>
              </c:strCache>
            </c:strRef>
          </c:tx>
          <c:spPr>
            <a:ln cmpd="sng">
              <a:solidFill>
                <a:srgbClr val="4285F4"/>
              </a:solidFill>
            </a:ln>
          </c:spPr>
          <c:marker>
            <c:symbol val="none"/>
          </c:marker>
          <c:cat>
            <c:strRef>
              <c:f>Graficos!$B$32:$P$32</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Graficos!$B$33:$P$33</c:f>
              <c:numCache>
                <c:formatCode>0.0</c:formatCode>
                <c:ptCount val="15"/>
                <c:pt idx="0">
                  <c:v>30.7</c:v>
                </c:pt>
                <c:pt idx="1">
                  <c:v>33.299999999999997</c:v>
                </c:pt>
                <c:pt idx="2">
                  <c:v>26.1</c:v>
                </c:pt>
                <c:pt idx="3">
                  <c:v>31.5</c:v>
                </c:pt>
                <c:pt idx="4">
                  <c:v>36.6</c:v>
                </c:pt>
                <c:pt idx="5">
                  <c:v>36.6</c:v>
                </c:pt>
                <c:pt idx="6">
                  <c:v>31.6</c:v>
                </c:pt>
                <c:pt idx="7">
                  <c:v>33</c:v>
                </c:pt>
                <c:pt idx="8">
                  <c:v>33</c:v>
                </c:pt>
                <c:pt idx="9">
                  <c:v>35.200000000000003</c:v>
                </c:pt>
                <c:pt idx="10">
                  <c:v>35.200000000000003</c:v>
                </c:pt>
                <c:pt idx="11">
                  <c:v>35.200000000000003</c:v>
                </c:pt>
                <c:pt idx="12">
                  <c:v>35.200000000000003</c:v>
                </c:pt>
                <c:pt idx="13">
                  <c:v>35.200000000000003</c:v>
                </c:pt>
                <c:pt idx="14">
                  <c:v>35.200000000000003</c:v>
                </c:pt>
              </c:numCache>
            </c:numRef>
          </c:val>
          <c:smooth val="1"/>
          <c:extLst>
            <c:ext xmlns:c16="http://schemas.microsoft.com/office/drawing/2014/chart" uri="{C3380CC4-5D6E-409C-BE32-E72D297353CC}">
              <c16:uniqueId val="{00000000-EBBF-4AB9-867B-60CC73EFACD6}"/>
            </c:ext>
          </c:extLst>
        </c:ser>
        <c:ser>
          <c:idx val="1"/>
          <c:order val="1"/>
          <c:tx>
            <c:strRef>
              <c:f>Graficos!$A$34</c:f>
              <c:strCache>
                <c:ptCount val="1"/>
                <c:pt idx="0">
                  <c:v>Músculos Posteriores do Braço(mm)</c:v>
                </c:pt>
              </c:strCache>
            </c:strRef>
          </c:tx>
          <c:spPr>
            <a:ln cmpd="sng">
              <a:solidFill>
                <a:srgbClr val="EA4335"/>
              </a:solidFill>
            </a:ln>
          </c:spPr>
          <c:marker>
            <c:symbol val="none"/>
          </c:marker>
          <c:cat>
            <c:strRef>
              <c:f>Graficos!$B$32:$P$32</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Graficos!$B$34:$P$34</c:f>
              <c:numCache>
                <c:formatCode>0.0</c:formatCode>
                <c:ptCount val="15"/>
                <c:pt idx="0">
                  <c:v>31.7</c:v>
                </c:pt>
                <c:pt idx="1">
                  <c:v>37.200000000000003</c:v>
                </c:pt>
                <c:pt idx="2">
                  <c:v>39</c:v>
                </c:pt>
                <c:pt idx="3">
                  <c:v>39.1</c:v>
                </c:pt>
                <c:pt idx="4">
                  <c:v>42.1</c:v>
                </c:pt>
                <c:pt idx="5">
                  <c:v>42.1</c:v>
                </c:pt>
                <c:pt idx="6">
                  <c:v>37.200000000000003</c:v>
                </c:pt>
                <c:pt idx="7">
                  <c:v>41.1</c:v>
                </c:pt>
                <c:pt idx="8">
                  <c:v>41.1</c:v>
                </c:pt>
                <c:pt idx="9">
                  <c:v>46.5</c:v>
                </c:pt>
                <c:pt idx="10">
                  <c:v>46.5</c:v>
                </c:pt>
                <c:pt idx="11">
                  <c:v>46.5</c:v>
                </c:pt>
                <c:pt idx="12">
                  <c:v>46.5</c:v>
                </c:pt>
                <c:pt idx="13">
                  <c:v>46.5</c:v>
                </c:pt>
                <c:pt idx="14">
                  <c:v>46.5</c:v>
                </c:pt>
              </c:numCache>
            </c:numRef>
          </c:val>
          <c:smooth val="1"/>
          <c:extLst>
            <c:ext xmlns:c16="http://schemas.microsoft.com/office/drawing/2014/chart" uri="{C3380CC4-5D6E-409C-BE32-E72D297353CC}">
              <c16:uniqueId val="{00000001-EBBF-4AB9-867B-60CC73EFACD6}"/>
            </c:ext>
          </c:extLst>
        </c:ser>
        <c:ser>
          <c:idx val="2"/>
          <c:order val="2"/>
          <c:tx>
            <c:strRef>
              <c:f>Graficos!$A$35</c:f>
              <c:strCache>
                <c:ptCount val="1"/>
                <c:pt idx="0">
                  <c:v>Músculo Reto Femoral (mm)</c:v>
                </c:pt>
              </c:strCache>
            </c:strRef>
          </c:tx>
          <c:spPr>
            <a:ln cmpd="sng">
              <a:solidFill>
                <a:srgbClr val="FBBC04"/>
              </a:solidFill>
            </a:ln>
          </c:spPr>
          <c:marker>
            <c:symbol val="none"/>
          </c:marker>
          <c:cat>
            <c:strRef>
              <c:f>Graficos!$B$32:$P$32</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Graficos!$B$35:$P$35</c:f>
              <c:numCache>
                <c:formatCode>0.0</c:formatCode>
                <c:ptCount val="15"/>
                <c:pt idx="0">
                  <c:v>25.5</c:v>
                </c:pt>
                <c:pt idx="1">
                  <c:v>25.5</c:v>
                </c:pt>
                <c:pt idx="2">
                  <c:v>21.4</c:v>
                </c:pt>
                <c:pt idx="3">
                  <c:v>23.5</c:v>
                </c:pt>
                <c:pt idx="4">
                  <c:v>27.3</c:v>
                </c:pt>
                <c:pt idx="5">
                  <c:v>27.3</c:v>
                </c:pt>
                <c:pt idx="6">
                  <c:v>21.6</c:v>
                </c:pt>
                <c:pt idx="7">
                  <c:v>29.6</c:v>
                </c:pt>
                <c:pt idx="8">
                  <c:v>29.6</c:v>
                </c:pt>
                <c:pt idx="9">
                  <c:v>30.6</c:v>
                </c:pt>
                <c:pt idx="10">
                  <c:v>30.6</c:v>
                </c:pt>
                <c:pt idx="11">
                  <c:v>30.6</c:v>
                </c:pt>
                <c:pt idx="12">
                  <c:v>30.6</c:v>
                </c:pt>
                <c:pt idx="13">
                  <c:v>30.6</c:v>
                </c:pt>
                <c:pt idx="14">
                  <c:v>30.6</c:v>
                </c:pt>
              </c:numCache>
            </c:numRef>
          </c:val>
          <c:smooth val="1"/>
          <c:extLst>
            <c:ext xmlns:c16="http://schemas.microsoft.com/office/drawing/2014/chart" uri="{C3380CC4-5D6E-409C-BE32-E72D297353CC}">
              <c16:uniqueId val="{00000002-EBBF-4AB9-867B-60CC73EFACD6}"/>
            </c:ext>
          </c:extLst>
        </c:ser>
        <c:ser>
          <c:idx val="3"/>
          <c:order val="3"/>
          <c:tx>
            <c:strRef>
              <c:f>Graficos!$A$36</c:f>
              <c:strCache>
                <c:ptCount val="1"/>
                <c:pt idx="0">
                  <c:v>Músculo Vasto Intermédio (mm)</c:v>
                </c:pt>
              </c:strCache>
            </c:strRef>
          </c:tx>
          <c:spPr>
            <a:ln cmpd="sng">
              <a:solidFill>
                <a:srgbClr val="34A853"/>
              </a:solidFill>
            </a:ln>
          </c:spPr>
          <c:marker>
            <c:symbol val="none"/>
          </c:marker>
          <c:cat>
            <c:strRef>
              <c:f>Graficos!$B$32:$P$32</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Graficos!$B$36:$P$36</c:f>
              <c:numCache>
                <c:formatCode>0.0</c:formatCode>
                <c:ptCount val="15"/>
                <c:pt idx="0">
                  <c:v>23.8</c:v>
                </c:pt>
                <c:pt idx="1">
                  <c:v>23.7</c:v>
                </c:pt>
                <c:pt idx="2">
                  <c:v>18.899999999999999</c:v>
                </c:pt>
                <c:pt idx="3">
                  <c:v>18.899999999999999</c:v>
                </c:pt>
                <c:pt idx="4">
                  <c:v>18.5</c:v>
                </c:pt>
                <c:pt idx="5">
                  <c:v>18.5</c:v>
                </c:pt>
                <c:pt idx="6">
                  <c:v>19.899999999999999</c:v>
                </c:pt>
                <c:pt idx="7">
                  <c:v>20.3</c:v>
                </c:pt>
                <c:pt idx="8">
                  <c:v>20.3</c:v>
                </c:pt>
                <c:pt idx="9">
                  <c:v>24.7</c:v>
                </c:pt>
                <c:pt idx="10">
                  <c:v>24.7</c:v>
                </c:pt>
                <c:pt idx="11">
                  <c:v>24.7</c:v>
                </c:pt>
                <c:pt idx="12">
                  <c:v>24.7</c:v>
                </c:pt>
                <c:pt idx="13">
                  <c:v>24.7</c:v>
                </c:pt>
                <c:pt idx="14">
                  <c:v>24.7</c:v>
                </c:pt>
              </c:numCache>
            </c:numRef>
          </c:val>
          <c:smooth val="1"/>
          <c:extLst>
            <c:ext xmlns:c16="http://schemas.microsoft.com/office/drawing/2014/chart" uri="{C3380CC4-5D6E-409C-BE32-E72D297353CC}">
              <c16:uniqueId val="{00000003-EBBF-4AB9-867B-60CC73EFACD6}"/>
            </c:ext>
          </c:extLst>
        </c:ser>
        <c:ser>
          <c:idx val="4"/>
          <c:order val="4"/>
          <c:tx>
            <c:strRef>
              <c:f>Graficos!$A$37</c:f>
              <c:strCache>
                <c:ptCount val="1"/>
                <c:pt idx="0">
                  <c:v>Músculos Anteriores da Coxa(mm)</c:v>
                </c:pt>
              </c:strCache>
            </c:strRef>
          </c:tx>
          <c:spPr>
            <a:ln cmpd="sng">
              <a:solidFill>
                <a:srgbClr val="FF6D01"/>
              </a:solidFill>
            </a:ln>
          </c:spPr>
          <c:marker>
            <c:symbol val="none"/>
          </c:marker>
          <c:cat>
            <c:strRef>
              <c:f>Graficos!$B$32:$P$32</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Graficos!$B$37:$P$37</c:f>
              <c:numCache>
                <c:formatCode>0.0</c:formatCode>
                <c:ptCount val="15"/>
                <c:pt idx="0">
                  <c:v>49.3</c:v>
                </c:pt>
                <c:pt idx="1">
                  <c:v>49.2</c:v>
                </c:pt>
                <c:pt idx="2">
                  <c:v>40.299999999999997</c:v>
                </c:pt>
                <c:pt idx="3">
                  <c:v>42.4</c:v>
                </c:pt>
                <c:pt idx="4">
                  <c:v>45.8</c:v>
                </c:pt>
                <c:pt idx="5">
                  <c:v>0</c:v>
                </c:pt>
                <c:pt idx="6">
                  <c:v>41.5</c:v>
                </c:pt>
                <c:pt idx="7">
                  <c:v>49.900000000000006</c:v>
                </c:pt>
                <c:pt idx="8">
                  <c:v>0</c:v>
                </c:pt>
                <c:pt idx="9">
                  <c:v>55.3</c:v>
                </c:pt>
                <c:pt idx="10">
                  <c:v>0</c:v>
                </c:pt>
                <c:pt idx="11">
                  <c:v>0</c:v>
                </c:pt>
                <c:pt idx="12">
                  <c:v>0</c:v>
                </c:pt>
                <c:pt idx="13">
                  <c:v>0</c:v>
                </c:pt>
                <c:pt idx="14">
                  <c:v>0</c:v>
                </c:pt>
              </c:numCache>
            </c:numRef>
          </c:val>
          <c:smooth val="1"/>
          <c:extLst>
            <c:ext xmlns:c16="http://schemas.microsoft.com/office/drawing/2014/chart" uri="{C3380CC4-5D6E-409C-BE32-E72D297353CC}">
              <c16:uniqueId val="{00000004-EBBF-4AB9-867B-60CC73EFACD6}"/>
            </c:ext>
          </c:extLst>
        </c:ser>
        <c:dLbls>
          <c:showLegendKey val="0"/>
          <c:showVal val="0"/>
          <c:showCatName val="0"/>
          <c:showSerName val="0"/>
          <c:showPercent val="0"/>
          <c:showBubbleSize val="0"/>
        </c:dLbls>
        <c:smooth val="0"/>
        <c:axId val="859999879"/>
        <c:axId val="1955642892"/>
      </c:lineChart>
      <c:catAx>
        <c:axId val="85999987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955642892"/>
        <c:crosses val="autoZero"/>
        <c:auto val="1"/>
        <c:lblAlgn val="ctr"/>
        <c:lblOffset val="100"/>
        <c:noMultiLvlLbl val="1"/>
      </c:catAx>
      <c:valAx>
        <c:axId val="19556428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859999879"/>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1"/>
        <c:ser>
          <c:idx val="0"/>
          <c:order val="0"/>
          <c:tx>
            <c:strRef>
              <c:f>Graficos!$A$41</c:f>
              <c:strCache>
                <c:ptCount val="1"/>
                <c:pt idx="0">
                  <c:v>Gordura Abdominal Subcutânea Superficial(mm)</c:v>
                </c:pt>
              </c:strCache>
            </c:strRef>
          </c:tx>
          <c:spPr>
            <a:ln cmpd="sng">
              <a:solidFill>
                <a:srgbClr val="4285F4"/>
              </a:solidFill>
            </a:ln>
          </c:spPr>
          <c:marker>
            <c:symbol val="none"/>
          </c:marker>
          <c:cat>
            <c:strRef>
              <c:f>Graficos!$B$40:$P$40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Graficos!$B$41:$P$41</c:f>
              <c:numCache>
                <c:formatCode>0.0</c:formatCode>
                <c:ptCount val="15"/>
                <c:pt idx="0">
                  <c:v>18.899999999999999</c:v>
                </c:pt>
                <c:pt idx="1">
                  <c:v>7.5</c:v>
                </c:pt>
                <c:pt idx="2">
                  <c:v>4.3</c:v>
                </c:pt>
                <c:pt idx="3">
                  <c:v>6.2</c:v>
                </c:pt>
                <c:pt idx="4">
                  <c:v>6.4</c:v>
                </c:pt>
                <c:pt idx="5">
                  <c:v>6.4</c:v>
                </c:pt>
                <c:pt idx="6">
                  <c:v>5.7</c:v>
                </c:pt>
                <c:pt idx="7">
                  <c:v>5</c:v>
                </c:pt>
                <c:pt idx="8">
                  <c:v>5</c:v>
                </c:pt>
                <c:pt idx="9">
                  <c:v>4</c:v>
                </c:pt>
                <c:pt idx="10">
                  <c:v>4</c:v>
                </c:pt>
                <c:pt idx="11">
                  <c:v>4</c:v>
                </c:pt>
                <c:pt idx="12">
                  <c:v>4</c:v>
                </c:pt>
                <c:pt idx="13">
                  <c:v>4</c:v>
                </c:pt>
                <c:pt idx="14">
                  <c:v>4</c:v>
                </c:pt>
              </c:numCache>
            </c:numRef>
          </c:val>
          <c:smooth val="1"/>
          <c:extLst>
            <c:ext xmlns:c16="http://schemas.microsoft.com/office/drawing/2014/chart" uri="{C3380CC4-5D6E-409C-BE32-E72D297353CC}">
              <c16:uniqueId val="{00000000-F2B4-4F1A-9EE4-78406FF11528}"/>
            </c:ext>
          </c:extLst>
        </c:ser>
        <c:ser>
          <c:idx val="1"/>
          <c:order val="1"/>
          <c:tx>
            <c:strRef>
              <c:f>Graficos!$A$42</c:f>
              <c:strCache>
                <c:ptCount val="1"/>
                <c:pt idx="0">
                  <c:v>Gordura Abdominal Subcutânea Profunda(mm)</c:v>
                </c:pt>
              </c:strCache>
            </c:strRef>
          </c:tx>
          <c:spPr>
            <a:ln cmpd="sng">
              <a:solidFill>
                <a:srgbClr val="EA4335"/>
              </a:solidFill>
            </a:ln>
          </c:spPr>
          <c:marker>
            <c:symbol val="none"/>
          </c:marker>
          <c:cat>
            <c:strRef>
              <c:f>Graficos!$B$40:$P$40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Graficos!$B$42:$P$42</c:f>
              <c:numCache>
                <c:formatCode>0.0</c:formatCode>
                <c:ptCount val="15"/>
                <c:pt idx="0">
                  <c:v>20.6</c:v>
                </c:pt>
                <c:pt idx="1">
                  <c:v>10.8</c:v>
                </c:pt>
                <c:pt idx="2">
                  <c:v>7.4</c:v>
                </c:pt>
                <c:pt idx="3">
                  <c:v>4.2</c:v>
                </c:pt>
                <c:pt idx="4">
                  <c:v>4.0999999999999996</c:v>
                </c:pt>
                <c:pt idx="5">
                  <c:v>4.0999999999999996</c:v>
                </c:pt>
                <c:pt idx="6">
                  <c:v>7.1</c:v>
                </c:pt>
                <c:pt idx="7">
                  <c:v>6.6</c:v>
                </c:pt>
                <c:pt idx="8">
                  <c:v>6.6</c:v>
                </c:pt>
                <c:pt idx="9">
                  <c:v>4.0999999999999996</c:v>
                </c:pt>
                <c:pt idx="10">
                  <c:v>4.0999999999999996</c:v>
                </c:pt>
                <c:pt idx="11">
                  <c:v>4.0999999999999996</c:v>
                </c:pt>
                <c:pt idx="12">
                  <c:v>4.0999999999999996</c:v>
                </c:pt>
                <c:pt idx="13">
                  <c:v>4.0999999999999996</c:v>
                </c:pt>
                <c:pt idx="14">
                  <c:v>4.0999999999999996</c:v>
                </c:pt>
              </c:numCache>
            </c:numRef>
          </c:val>
          <c:smooth val="1"/>
          <c:extLst>
            <c:ext xmlns:c16="http://schemas.microsoft.com/office/drawing/2014/chart" uri="{C3380CC4-5D6E-409C-BE32-E72D297353CC}">
              <c16:uniqueId val="{00000001-F2B4-4F1A-9EE4-78406FF11528}"/>
            </c:ext>
          </c:extLst>
        </c:ser>
        <c:ser>
          <c:idx val="2"/>
          <c:order val="2"/>
          <c:tx>
            <c:strRef>
              <c:f>Graficos!$A$43</c:f>
              <c:strCache>
                <c:ptCount val="1"/>
                <c:pt idx="0">
                  <c:v>Gordura Abdominal Supra muscular total(mm)</c:v>
                </c:pt>
              </c:strCache>
            </c:strRef>
          </c:tx>
          <c:spPr>
            <a:ln cmpd="sng">
              <a:solidFill>
                <a:srgbClr val="FBBC04"/>
              </a:solidFill>
            </a:ln>
          </c:spPr>
          <c:marker>
            <c:symbol val="none"/>
          </c:marker>
          <c:cat>
            <c:strRef>
              <c:f>Graficos!$B$40:$P$40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Graficos!$B$43:$P$43</c:f>
              <c:numCache>
                <c:formatCode>0.0</c:formatCode>
                <c:ptCount val="15"/>
                <c:pt idx="0">
                  <c:v>39.5</c:v>
                </c:pt>
                <c:pt idx="1">
                  <c:v>18.3</c:v>
                </c:pt>
                <c:pt idx="2">
                  <c:v>11.7</c:v>
                </c:pt>
                <c:pt idx="3">
                  <c:v>10.4</c:v>
                </c:pt>
                <c:pt idx="4">
                  <c:v>10.5</c:v>
                </c:pt>
                <c:pt idx="5">
                  <c:v>0</c:v>
                </c:pt>
                <c:pt idx="6">
                  <c:v>12.8</c:v>
                </c:pt>
                <c:pt idx="7">
                  <c:v>11.6</c:v>
                </c:pt>
                <c:pt idx="8">
                  <c:v>0</c:v>
                </c:pt>
                <c:pt idx="9">
                  <c:v>8.1</c:v>
                </c:pt>
                <c:pt idx="10">
                  <c:v>0</c:v>
                </c:pt>
                <c:pt idx="11">
                  <c:v>0</c:v>
                </c:pt>
                <c:pt idx="12">
                  <c:v>0</c:v>
                </c:pt>
                <c:pt idx="13">
                  <c:v>0</c:v>
                </c:pt>
                <c:pt idx="14">
                  <c:v>0</c:v>
                </c:pt>
              </c:numCache>
            </c:numRef>
          </c:val>
          <c:smooth val="1"/>
          <c:extLst>
            <c:ext xmlns:c16="http://schemas.microsoft.com/office/drawing/2014/chart" uri="{C3380CC4-5D6E-409C-BE32-E72D297353CC}">
              <c16:uniqueId val="{00000002-F2B4-4F1A-9EE4-78406FF11528}"/>
            </c:ext>
          </c:extLst>
        </c:ser>
        <c:ser>
          <c:idx val="3"/>
          <c:order val="3"/>
          <c:tx>
            <c:strRef>
              <c:f>Graficos!$A$44</c:f>
              <c:strCache>
                <c:ptCount val="1"/>
                <c:pt idx="0">
                  <c:v>Compartimento Anterior do Braço(mm)</c:v>
                </c:pt>
              </c:strCache>
            </c:strRef>
          </c:tx>
          <c:spPr>
            <a:ln cmpd="sng">
              <a:solidFill>
                <a:srgbClr val="34A853"/>
              </a:solidFill>
            </a:ln>
          </c:spPr>
          <c:marker>
            <c:symbol val="none"/>
          </c:marker>
          <c:cat>
            <c:strRef>
              <c:f>Graficos!$B$40:$P$40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Graficos!$B$44:$P$44</c:f>
              <c:numCache>
                <c:formatCode>0.0</c:formatCode>
                <c:ptCount val="15"/>
                <c:pt idx="0">
                  <c:v>4.2</c:v>
                </c:pt>
                <c:pt idx="1">
                  <c:v>3.5</c:v>
                </c:pt>
                <c:pt idx="2">
                  <c:v>3.4</c:v>
                </c:pt>
                <c:pt idx="3">
                  <c:v>4.5999999999999996</c:v>
                </c:pt>
                <c:pt idx="4">
                  <c:v>4.4000000000000004</c:v>
                </c:pt>
                <c:pt idx="5">
                  <c:v>4.4000000000000004</c:v>
                </c:pt>
                <c:pt idx="6">
                  <c:v>1.6</c:v>
                </c:pt>
                <c:pt idx="7">
                  <c:v>2.1</c:v>
                </c:pt>
                <c:pt idx="8">
                  <c:v>2.1</c:v>
                </c:pt>
                <c:pt idx="9">
                  <c:v>1.4</c:v>
                </c:pt>
                <c:pt idx="10">
                  <c:v>1.4</c:v>
                </c:pt>
                <c:pt idx="11">
                  <c:v>1.4</c:v>
                </c:pt>
                <c:pt idx="12">
                  <c:v>1.4</c:v>
                </c:pt>
                <c:pt idx="13">
                  <c:v>1.4</c:v>
                </c:pt>
                <c:pt idx="14">
                  <c:v>1.4</c:v>
                </c:pt>
              </c:numCache>
            </c:numRef>
          </c:val>
          <c:smooth val="1"/>
          <c:extLst>
            <c:ext xmlns:c16="http://schemas.microsoft.com/office/drawing/2014/chart" uri="{C3380CC4-5D6E-409C-BE32-E72D297353CC}">
              <c16:uniqueId val="{00000003-F2B4-4F1A-9EE4-78406FF11528}"/>
            </c:ext>
          </c:extLst>
        </c:ser>
        <c:ser>
          <c:idx val="4"/>
          <c:order val="4"/>
          <c:tx>
            <c:strRef>
              <c:f>Graficos!$A$45</c:f>
              <c:strCache>
                <c:ptCount val="1"/>
                <c:pt idx="0">
                  <c:v>Compartimento Posterior do Braço(mm)</c:v>
                </c:pt>
              </c:strCache>
            </c:strRef>
          </c:tx>
          <c:spPr>
            <a:ln cmpd="sng">
              <a:solidFill>
                <a:srgbClr val="FF6D01"/>
              </a:solidFill>
            </a:ln>
          </c:spPr>
          <c:marker>
            <c:symbol val="none"/>
          </c:marker>
          <c:cat>
            <c:strRef>
              <c:f>Graficos!$B$40:$P$40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Graficos!$B$45:$P$45</c:f>
              <c:numCache>
                <c:formatCode>0.0</c:formatCode>
                <c:ptCount val="15"/>
                <c:pt idx="0">
                  <c:v>5.4</c:v>
                </c:pt>
                <c:pt idx="1">
                  <c:v>6.3</c:v>
                </c:pt>
                <c:pt idx="2">
                  <c:v>4</c:v>
                </c:pt>
                <c:pt idx="3">
                  <c:v>4.3</c:v>
                </c:pt>
                <c:pt idx="4">
                  <c:v>4</c:v>
                </c:pt>
                <c:pt idx="5">
                  <c:v>4</c:v>
                </c:pt>
                <c:pt idx="6">
                  <c:v>1.8</c:v>
                </c:pt>
                <c:pt idx="7">
                  <c:v>3.2</c:v>
                </c:pt>
                <c:pt idx="8">
                  <c:v>3.2</c:v>
                </c:pt>
                <c:pt idx="9">
                  <c:v>2</c:v>
                </c:pt>
                <c:pt idx="10">
                  <c:v>2</c:v>
                </c:pt>
                <c:pt idx="11">
                  <c:v>2</c:v>
                </c:pt>
                <c:pt idx="12">
                  <c:v>2</c:v>
                </c:pt>
                <c:pt idx="13">
                  <c:v>2</c:v>
                </c:pt>
                <c:pt idx="14">
                  <c:v>2</c:v>
                </c:pt>
              </c:numCache>
            </c:numRef>
          </c:val>
          <c:smooth val="1"/>
          <c:extLst>
            <c:ext xmlns:c16="http://schemas.microsoft.com/office/drawing/2014/chart" uri="{C3380CC4-5D6E-409C-BE32-E72D297353CC}">
              <c16:uniqueId val="{00000004-F2B4-4F1A-9EE4-78406FF11528}"/>
            </c:ext>
          </c:extLst>
        </c:ser>
        <c:ser>
          <c:idx val="5"/>
          <c:order val="5"/>
          <c:tx>
            <c:strRef>
              <c:f>Graficos!$A$46</c:f>
              <c:strCache>
                <c:ptCount val="1"/>
                <c:pt idx="0">
                  <c:v>Compartimento Anterior da Coxa(mm)</c:v>
                </c:pt>
              </c:strCache>
            </c:strRef>
          </c:tx>
          <c:spPr>
            <a:ln cmpd="sng">
              <a:solidFill>
                <a:srgbClr val="46BDC6"/>
              </a:solidFill>
            </a:ln>
          </c:spPr>
          <c:marker>
            <c:symbol val="none"/>
          </c:marker>
          <c:cat>
            <c:strRef>
              <c:f>Graficos!$B$40:$P$40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Graficos!$B$46:$P$46</c:f>
              <c:numCache>
                <c:formatCode>0.0</c:formatCode>
                <c:ptCount val="15"/>
                <c:pt idx="0">
                  <c:v>5.8</c:v>
                </c:pt>
                <c:pt idx="1">
                  <c:v>5.5</c:v>
                </c:pt>
                <c:pt idx="2">
                  <c:v>4.2</c:v>
                </c:pt>
                <c:pt idx="3">
                  <c:v>3.6</c:v>
                </c:pt>
                <c:pt idx="4">
                  <c:v>3.6</c:v>
                </c:pt>
                <c:pt idx="5">
                  <c:v>3.6</c:v>
                </c:pt>
                <c:pt idx="6">
                  <c:v>3.6</c:v>
                </c:pt>
                <c:pt idx="7">
                  <c:v>3.9</c:v>
                </c:pt>
                <c:pt idx="8">
                  <c:v>3.9</c:v>
                </c:pt>
                <c:pt idx="9">
                  <c:v>3.6</c:v>
                </c:pt>
                <c:pt idx="10">
                  <c:v>3.6</c:v>
                </c:pt>
                <c:pt idx="11">
                  <c:v>3.6</c:v>
                </c:pt>
                <c:pt idx="12">
                  <c:v>3.6</c:v>
                </c:pt>
                <c:pt idx="13">
                  <c:v>3.6</c:v>
                </c:pt>
                <c:pt idx="14">
                  <c:v>3.6</c:v>
                </c:pt>
              </c:numCache>
            </c:numRef>
          </c:val>
          <c:smooth val="1"/>
          <c:extLst>
            <c:ext xmlns:c16="http://schemas.microsoft.com/office/drawing/2014/chart" uri="{C3380CC4-5D6E-409C-BE32-E72D297353CC}">
              <c16:uniqueId val="{00000005-F2B4-4F1A-9EE4-78406FF11528}"/>
            </c:ext>
          </c:extLst>
        </c:ser>
        <c:dLbls>
          <c:showLegendKey val="0"/>
          <c:showVal val="0"/>
          <c:showCatName val="0"/>
          <c:showSerName val="0"/>
          <c:showPercent val="0"/>
          <c:showBubbleSize val="0"/>
        </c:dLbls>
        <c:smooth val="0"/>
        <c:axId val="155826880"/>
        <c:axId val="1961790632"/>
      </c:lineChart>
      <c:catAx>
        <c:axId val="15582688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961790632"/>
        <c:crosses val="autoZero"/>
        <c:auto val="1"/>
        <c:lblAlgn val="ctr"/>
        <c:lblOffset val="100"/>
        <c:noMultiLvlLbl val="1"/>
      </c:catAx>
      <c:valAx>
        <c:axId val="19617906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155826880"/>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areaChart>
        <c:grouping val="standard"/>
        <c:varyColors val="1"/>
        <c:ser>
          <c:idx val="0"/>
          <c:order val="0"/>
          <c:tx>
            <c:strRef>
              <c:f>Graficos!$A$50</c:f>
              <c:strCache>
                <c:ptCount val="1"/>
                <c:pt idx="0">
                  <c:v>Muito Alto</c:v>
                </c:pt>
              </c:strCache>
            </c:strRef>
          </c:tx>
          <c:spPr>
            <a:solidFill>
              <a:srgbClr val="FF4F4F"/>
            </a:solidFill>
            <a:ln cmpd="sng">
              <a:solidFill>
                <a:srgbClr val="FF4F4F">
                  <a:alpha val="100000"/>
                </a:srgbClr>
              </a:solidFill>
            </a:ln>
          </c:spPr>
          <c:cat>
            <c:strRef>
              <c:f>Graficos!$B$49:$P$49</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Graficos!$B$50:$P$50</c:f>
              <c:numCache>
                <c:formatCode>0.00</c:formatCode>
                <c:ptCount val="15"/>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1.1000000000000001</c:v>
                </c:pt>
                <c:pt idx="14">
                  <c:v>1.1000000000000001</c:v>
                </c:pt>
              </c:numCache>
            </c:numRef>
          </c:val>
          <c:extLst>
            <c:ext xmlns:c16="http://schemas.microsoft.com/office/drawing/2014/chart" uri="{C3380CC4-5D6E-409C-BE32-E72D297353CC}">
              <c16:uniqueId val="{00000000-73A4-4562-831A-494A82A542E2}"/>
            </c:ext>
          </c:extLst>
        </c:ser>
        <c:ser>
          <c:idx val="1"/>
          <c:order val="1"/>
          <c:tx>
            <c:strRef>
              <c:f>Graficos!$A$51</c:f>
              <c:strCache>
                <c:ptCount val="1"/>
                <c:pt idx="0">
                  <c:v>Alto</c:v>
                </c:pt>
              </c:strCache>
            </c:strRef>
          </c:tx>
          <c:spPr>
            <a:solidFill>
              <a:srgbClr val="FFA766"/>
            </a:solidFill>
            <a:ln cmpd="sng">
              <a:solidFill>
                <a:srgbClr val="FFA766">
                  <a:alpha val="100000"/>
                </a:srgbClr>
              </a:solidFill>
            </a:ln>
          </c:spPr>
          <c:cat>
            <c:strRef>
              <c:f>Graficos!$B$49:$P$49</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Graficos!$B$51:$P$51</c:f>
              <c:numCache>
                <c:formatCode>0.00</c:formatCode>
                <c:ptCount val="15"/>
                <c:pt idx="0">
                  <c:v>1</c:v>
                </c:pt>
                <c:pt idx="1">
                  <c:v>1.02</c:v>
                </c:pt>
                <c:pt idx="2">
                  <c:v>1.02</c:v>
                </c:pt>
                <c:pt idx="3">
                  <c:v>1.02</c:v>
                </c:pt>
                <c:pt idx="4">
                  <c:v>1.02</c:v>
                </c:pt>
                <c:pt idx="5">
                  <c:v>1.02</c:v>
                </c:pt>
                <c:pt idx="6">
                  <c:v>1.02</c:v>
                </c:pt>
                <c:pt idx="7">
                  <c:v>1.02</c:v>
                </c:pt>
                <c:pt idx="8">
                  <c:v>1.02</c:v>
                </c:pt>
                <c:pt idx="9">
                  <c:v>1.02</c:v>
                </c:pt>
                <c:pt idx="10">
                  <c:v>1.02</c:v>
                </c:pt>
                <c:pt idx="11">
                  <c:v>1.02</c:v>
                </c:pt>
                <c:pt idx="12">
                  <c:v>#N/A</c:v>
                </c:pt>
                <c:pt idx="13">
                  <c:v>#N/A</c:v>
                </c:pt>
                <c:pt idx="14">
                  <c:v>#N/A</c:v>
                </c:pt>
              </c:numCache>
            </c:numRef>
          </c:val>
          <c:extLst>
            <c:ext xmlns:c16="http://schemas.microsoft.com/office/drawing/2014/chart" uri="{C3380CC4-5D6E-409C-BE32-E72D297353CC}">
              <c16:uniqueId val="{00000001-73A4-4562-831A-494A82A542E2}"/>
            </c:ext>
          </c:extLst>
        </c:ser>
        <c:ser>
          <c:idx val="2"/>
          <c:order val="2"/>
          <c:tx>
            <c:strRef>
              <c:f>Graficos!$A$52</c:f>
              <c:strCache>
                <c:ptCount val="1"/>
                <c:pt idx="0">
                  <c:v>Moderado</c:v>
                </c:pt>
              </c:strCache>
            </c:strRef>
          </c:tx>
          <c:spPr>
            <a:solidFill>
              <a:srgbClr val="FFE28E"/>
            </a:solidFill>
            <a:ln cmpd="sng">
              <a:solidFill>
                <a:srgbClr val="FFE28E">
                  <a:alpha val="100000"/>
                </a:srgbClr>
              </a:solidFill>
            </a:ln>
          </c:spPr>
          <c:cat>
            <c:strRef>
              <c:f>Graficos!$B$49:$P$49</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Graficos!$B$52:$P$52</c:f>
              <c:numCache>
                <c:formatCode>0.00</c:formatCode>
                <c:ptCount val="15"/>
                <c:pt idx="0">
                  <c:v>0.95</c:v>
                </c:pt>
                <c:pt idx="1">
                  <c:v>0.96</c:v>
                </c:pt>
                <c:pt idx="2">
                  <c:v>0.96</c:v>
                </c:pt>
                <c:pt idx="3">
                  <c:v>0.96</c:v>
                </c:pt>
                <c:pt idx="4">
                  <c:v>0.96</c:v>
                </c:pt>
                <c:pt idx="5">
                  <c:v>0.96</c:v>
                </c:pt>
                <c:pt idx="6">
                  <c:v>0.96</c:v>
                </c:pt>
                <c:pt idx="7">
                  <c:v>0.96</c:v>
                </c:pt>
                <c:pt idx="8">
                  <c:v>0.96</c:v>
                </c:pt>
                <c:pt idx="9">
                  <c:v>0.96</c:v>
                </c:pt>
                <c:pt idx="10">
                  <c:v>0.96</c:v>
                </c:pt>
                <c:pt idx="11">
                  <c:v>0.96</c:v>
                </c:pt>
                <c:pt idx="12">
                  <c:v>#N/A</c:v>
                </c:pt>
                <c:pt idx="13">
                  <c:v>#N/A</c:v>
                </c:pt>
                <c:pt idx="14">
                  <c:v>#N/A</c:v>
                </c:pt>
              </c:numCache>
            </c:numRef>
          </c:val>
          <c:extLst>
            <c:ext xmlns:c16="http://schemas.microsoft.com/office/drawing/2014/chart" uri="{C3380CC4-5D6E-409C-BE32-E72D297353CC}">
              <c16:uniqueId val="{00000002-73A4-4562-831A-494A82A542E2}"/>
            </c:ext>
          </c:extLst>
        </c:ser>
        <c:ser>
          <c:idx val="3"/>
          <c:order val="3"/>
          <c:tx>
            <c:strRef>
              <c:f>Graficos!$A$53</c:f>
              <c:strCache>
                <c:ptCount val="1"/>
                <c:pt idx="0">
                  <c:v>Baixo</c:v>
                </c:pt>
              </c:strCache>
            </c:strRef>
          </c:tx>
          <c:spPr>
            <a:solidFill>
              <a:srgbClr val="BBEFBB"/>
            </a:solidFill>
            <a:ln cmpd="sng">
              <a:solidFill>
                <a:srgbClr val="BBEFBB">
                  <a:alpha val="100000"/>
                </a:srgbClr>
              </a:solidFill>
            </a:ln>
          </c:spPr>
          <c:cat>
            <c:strRef>
              <c:f>Graficos!$B$49:$P$49</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Graficos!$B$53:$P$53</c:f>
              <c:numCache>
                <c:formatCode>0.00</c:formatCode>
                <c:ptCount val="15"/>
                <c:pt idx="0">
                  <c:v>0.88</c:v>
                </c:pt>
                <c:pt idx="1">
                  <c:v>0.9</c:v>
                </c:pt>
                <c:pt idx="2">
                  <c:v>0.9</c:v>
                </c:pt>
                <c:pt idx="3">
                  <c:v>0.9</c:v>
                </c:pt>
                <c:pt idx="4">
                  <c:v>0.9</c:v>
                </c:pt>
                <c:pt idx="5">
                  <c:v>0.9</c:v>
                </c:pt>
                <c:pt idx="6">
                  <c:v>0.9</c:v>
                </c:pt>
                <c:pt idx="7">
                  <c:v>0.9</c:v>
                </c:pt>
                <c:pt idx="8">
                  <c:v>0.9</c:v>
                </c:pt>
                <c:pt idx="9">
                  <c:v>0.9</c:v>
                </c:pt>
                <c:pt idx="10">
                  <c:v>0.9</c:v>
                </c:pt>
                <c:pt idx="11">
                  <c:v>0.9</c:v>
                </c:pt>
                <c:pt idx="12">
                  <c:v>#N/A</c:v>
                </c:pt>
                <c:pt idx="13">
                  <c:v>#N/A</c:v>
                </c:pt>
                <c:pt idx="14">
                  <c:v>#N/A</c:v>
                </c:pt>
              </c:numCache>
            </c:numRef>
          </c:val>
          <c:extLst>
            <c:ext xmlns:c16="http://schemas.microsoft.com/office/drawing/2014/chart" uri="{C3380CC4-5D6E-409C-BE32-E72D297353CC}">
              <c16:uniqueId val="{00000003-73A4-4562-831A-494A82A542E2}"/>
            </c:ext>
          </c:extLst>
        </c:ser>
        <c:dLbls>
          <c:showLegendKey val="0"/>
          <c:showVal val="0"/>
          <c:showCatName val="0"/>
          <c:showSerName val="0"/>
          <c:showPercent val="0"/>
          <c:showBubbleSize val="0"/>
        </c:dLbls>
        <c:axId val="1337346873"/>
        <c:axId val="994713829"/>
      </c:areaChart>
      <c:lineChart>
        <c:grouping val="standard"/>
        <c:varyColors val="0"/>
        <c:ser>
          <c:idx val="4"/>
          <c:order val="4"/>
          <c:tx>
            <c:strRef>
              <c:f>Graficos!$A$54</c:f>
              <c:strCache>
                <c:ptCount val="1"/>
                <c:pt idx="0">
                  <c:v>Relação Abdome - Quadril</c:v>
                </c:pt>
              </c:strCache>
            </c:strRef>
          </c:tx>
          <c:spPr>
            <a:ln cmpd="sng">
              <a:solidFill>
                <a:srgbClr val="000000">
                  <a:alpha val="100000"/>
                </a:srgbClr>
              </a:solidFill>
            </a:ln>
          </c:spPr>
          <c:marker>
            <c:symbol val="none"/>
          </c:marker>
          <c:cat>
            <c:strRef>
              <c:f>Graficos!$B$49:$P$49</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Graficos!$B$54:$P$54</c:f>
              <c:numCache>
                <c:formatCode>0.00</c:formatCode>
                <c:ptCount val="15"/>
                <c:pt idx="0">
                  <c:v>0.94148936170212771</c:v>
                </c:pt>
                <c:pt idx="1">
                  <c:v>0.8125</c:v>
                </c:pt>
                <c:pt idx="2">
                  <c:v>0.86470588235294121</c:v>
                </c:pt>
                <c:pt idx="3">
                  <c:v>0.86627906976744184</c:v>
                </c:pt>
                <c:pt idx="4">
                  <c:v>0.87570621468926557</c:v>
                </c:pt>
                <c:pt idx="5">
                  <c:v>0.86363636363636365</c:v>
                </c:pt>
                <c:pt idx="6">
                  <c:v>0.8651685393258427</c:v>
                </c:pt>
                <c:pt idx="7">
                  <c:v>0.87777777777777777</c:v>
                </c:pt>
                <c:pt idx="8">
                  <c:v>0.8707865168539326</c:v>
                </c:pt>
                <c:pt idx="9">
                  <c:v>0.88135593220338981</c:v>
                </c:pt>
                <c:pt idx="10">
                  <c:v>0.8539325842696629</c:v>
                </c:pt>
                <c:pt idx="11">
                  <c:v>0.8764044943820225</c:v>
                </c:pt>
                <c:pt idx="12">
                  <c:v>0.8764044943820225</c:v>
                </c:pt>
                <c:pt idx="13">
                  <c:v>0.8764044943820225</c:v>
                </c:pt>
                <c:pt idx="14">
                  <c:v>0.8764044943820225</c:v>
                </c:pt>
              </c:numCache>
            </c:numRef>
          </c:val>
          <c:smooth val="0"/>
          <c:extLst>
            <c:ext xmlns:c16="http://schemas.microsoft.com/office/drawing/2014/chart" uri="{C3380CC4-5D6E-409C-BE32-E72D297353CC}">
              <c16:uniqueId val="{00000004-73A4-4562-831A-494A82A542E2}"/>
            </c:ext>
          </c:extLst>
        </c:ser>
        <c:dLbls>
          <c:showLegendKey val="0"/>
          <c:showVal val="0"/>
          <c:showCatName val="0"/>
          <c:showSerName val="0"/>
          <c:showPercent val="0"/>
          <c:showBubbleSize val="0"/>
        </c:dLbls>
        <c:marker val="1"/>
        <c:smooth val="0"/>
        <c:axId val="1337346873"/>
        <c:axId val="994713829"/>
      </c:lineChart>
      <c:catAx>
        <c:axId val="133734687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994713829"/>
        <c:crosses val="autoZero"/>
        <c:auto val="1"/>
        <c:lblAlgn val="ctr"/>
        <c:lblOffset val="100"/>
        <c:noMultiLvlLbl val="1"/>
      </c:catAx>
      <c:valAx>
        <c:axId val="9947138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1337346873"/>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areaChart>
        <c:grouping val="standard"/>
        <c:varyColors val="1"/>
        <c:ser>
          <c:idx val="0"/>
          <c:order val="0"/>
          <c:tx>
            <c:strRef>
              <c:f>Graficos!$A$79</c:f>
              <c:strCache>
                <c:ptCount val="1"/>
                <c:pt idx="0">
                  <c:v>Excelente</c:v>
                </c:pt>
              </c:strCache>
            </c:strRef>
          </c:tx>
          <c:spPr>
            <a:solidFill>
              <a:srgbClr val="BBEFBB"/>
            </a:solidFill>
            <a:ln cmpd="sng">
              <a:solidFill>
                <a:srgbClr val="BBEFBB">
                  <a:alpha val="100000"/>
                </a:srgbClr>
              </a:solidFill>
            </a:ln>
          </c:spPr>
          <c:cat>
            <c:strRef>
              <c:f>Graficos!$B$78:$P$78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Graficos!$B$79:$P$79</c:f>
              <c:numCache>
                <c:formatCode>0</c:formatCode>
                <c:ptCount val="15"/>
                <c:pt idx="0">
                  <c:v>63</c:v>
                </c:pt>
                <c:pt idx="1">
                  <c:v>63</c:v>
                </c:pt>
                <c:pt idx="2">
                  <c:v>63</c:v>
                </c:pt>
                <c:pt idx="3">
                  <c:v>63</c:v>
                </c:pt>
                <c:pt idx="4">
                  <c:v>63</c:v>
                </c:pt>
                <c:pt idx="5">
                  <c:v>63</c:v>
                </c:pt>
                <c:pt idx="6">
                  <c:v>63</c:v>
                </c:pt>
                <c:pt idx="7">
                  <c:v>63</c:v>
                </c:pt>
                <c:pt idx="8">
                  <c:v>63</c:v>
                </c:pt>
                <c:pt idx="9">
                  <c:v>63</c:v>
                </c:pt>
                <c:pt idx="10">
                  <c:v>63</c:v>
                </c:pt>
                <c:pt idx="11">
                  <c:v>63</c:v>
                </c:pt>
                <c:pt idx="12">
                  <c:v>63</c:v>
                </c:pt>
                <c:pt idx="13">
                  <c:v>63</c:v>
                </c:pt>
                <c:pt idx="14">
                  <c:v>63</c:v>
                </c:pt>
              </c:numCache>
            </c:numRef>
          </c:val>
          <c:extLst>
            <c:ext xmlns:c16="http://schemas.microsoft.com/office/drawing/2014/chart" uri="{C3380CC4-5D6E-409C-BE32-E72D297353CC}">
              <c16:uniqueId val="{00000000-1412-42C1-BACA-2DC3C1CC1CA2}"/>
            </c:ext>
          </c:extLst>
        </c:ser>
        <c:ser>
          <c:idx val="1"/>
          <c:order val="1"/>
          <c:tx>
            <c:strRef>
              <c:f>Graficos!$A$80</c:f>
              <c:strCache>
                <c:ptCount val="1"/>
                <c:pt idx="0">
                  <c:v>Acima da Média</c:v>
                </c:pt>
              </c:strCache>
            </c:strRef>
          </c:tx>
          <c:spPr>
            <a:solidFill>
              <a:srgbClr val="FFE28E"/>
            </a:solidFill>
            <a:ln cmpd="sng">
              <a:solidFill>
                <a:srgbClr val="FFE28E">
                  <a:alpha val="100000"/>
                </a:srgbClr>
              </a:solidFill>
            </a:ln>
          </c:spPr>
          <c:cat>
            <c:strRef>
              <c:f>Graficos!$B$78:$P$78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Graficos!$B$80:$P$80</c:f>
              <c:numCache>
                <c:formatCode>0</c:formatCode>
                <c:ptCount val="15"/>
                <c:pt idx="0">
                  <c:v>31</c:v>
                </c:pt>
                <c:pt idx="1">
                  <c:v>26</c:v>
                </c:pt>
                <c:pt idx="2">
                  <c:v>26</c:v>
                </c:pt>
                <c:pt idx="3">
                  <c:v>26</c:v>
                </c:pt>
                <c:pt idx="4">
                  <c:v>26</c:v>
                </c:pt>
                <c:pt idx="5">
                  <c:v>26</c:v>
                </c:pt>
                <c:pt idx="6">
                  <c:v>26</c:v>
                </c:pt>
                <c:pt idx="7">
                  <c:v>26</c:v>
                </c:pt>
                <c:pt idx="8">
                  <c:v>26</c:v>
                </c:pt>
                <c:pt idx="9">
                  <c:v>26</c:v>
                </c:pt>
                <c:pt idx="10">
                  <c:v>26</c:v>
                </c:pt>
                <c:pt idx="11">
                  <c:v>26</c:v>
                </c:pt>
                <c:pt idx="12">
                  <c:v>#N/A</c:v>
                </c:pt>
                <c:pt idx="13">
                  <c:v>#N/A</c:v>
                </c:pt>
                <c:pt idx="14">
                  <c:v>#N/A</c:v>
                </c:pt>
              </c:numCache>
            </c:numRef>
          </c:val>
          <c:extLst>
            <c:ext xmlns:c16="http://schemas.microsoft.com/office/drawing/2014/chart" uri="{C3380CC4-5D6E-409C-BE32-E72D297353CC}">
              <c16:uniqueId val="{00000001-1412-42C1-BACA-2DC3C1CC1CA2}"/>
            </c:ext>
          </c:extLst>
        </c:ser>
        <c:ser>
          <c:idx val="2"/>
          <c:order val="2"/>
          <c:tx>
            <c:strRef>
              <c:f>Graficos!$A$81</c:f>
              <c:strCache>
                <c:ptCount val="1"/>
                <c:pt idx="0">
                  <c:v>Bom</c:v>
                </c:pt>
              </c:strCache>
            </c:strRef>
          </c:tx>
          <c:spPr>
            <a:solidFill>
              <a:srgbClr val="FFA766"/>
            </a:solidFill>
            <a:ln cmpd="sng">
              <a:solidFill>
                <a:srgbClr val="FFA766">
                  <a:alpha val="100000"/>
                </a:srgbClr>
              </a:solidFill>
            </a:ln>
          </c:spPr>
          <c:cat>
            <c:strRef>
              <c:f>Graficos!$B$78:$P$78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Graficos!$B$81:$P$81</c:f>
              <c:numCache>
                <c:formatCode>0</c:formatCode>
                <c:ptCount val="15"/>
                <c:pt idx="0">
                  <c:v>26</c:v>
                </c:pt>
                <c:pt idx="1">
                  <c:v>22</c:v>
                </c:pt>
                <c:pt idx="2">
                  <c:v>22</c:v>
                </c:pt>
                <c:pt idx="3">
                  <c:v>22</c:v>
                </c:pt>
                <c:pt idx="4">
                  <c:v>22</c:v>
                </c:pt>
                <c:pt idx="5">
                  <c:v>22</c:v>
                </c:pt>
                <c:pt idx="6">
                  <c:v>22</c:v>
                </c:pt>
                <c:pt idx="7">
                  <c:v>22</c:v>
                </c:pt>
                <c:pt idx="8">
                  <c:v>22</c:v>
                </c:pt>
                <c:pt idx="9">
                  <c:v>22</c:v>
                </c:pt>
                <c:pt idx="10">
                  <c:v>22</c:v>
                </c:pt>
                <c:pt idx="11">
                  <c:v>22</c:v>
                </c:pt>
                <c:pt idx="12">
                  <c:v>#N/A</c:v>
                </c:pt>
                <c:pt idx="13">
                  <c:v>#N/A</c:v>
                </c:pt>
                <c:pt idx="14">
                  <c:v>#N/A</c:v>
                </c:pt>
              </c:numCache>
            </c:numRef>
          </c:val>
          <c:extLst>
            <c:ext xmlns:c16="http://schemas.microsoft.com/office/drawing/2014/chart" uri="{C3380CC4-5D6E-409C-BE32-E72D297353CC}">
              <c16:uniqueId val="{00000002-1412-42C1-BACA-2DC3C1CC1CA2}"/>
            </c:ext>
          </c:extLst>
        </c:ser>
        <c:ser>
          <c:idx val="3"/>
          <c:order val="3"/>
          <c:tx>
            <c:strRef>
              <c:f>Graficos!$A$82</c:f>
              <c:strCache>
                <c:ptCount val="1"/>
                <c:pt idx="0">
                  <c:v>Abaixo da Média</c:v>
                </c:pt>
              </c:strCache>
            </c:strRef>
          </c:tx>
          <c:spPr>
            <a:solidFill>
              <a:srgbClr val="FF4F4F"/>
            </a:solidFill>
            <a:ln cmpd="sng">
              <a:solidFill>
                <a:srgbClr val="FF4F4F">
                  <a:alpha val="100000"/>
                </a:srgbClr>
              </a:solidFill>
            </a:ln>
          </c:spPr>
          <c:cat>
            <c:strRef>
              <c:f>Graficos!$B$78:$P$78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Graficos!$B$82:$P$82</c:f>
              <c:numCache>
                <c:formatCode>0</c:formatCode>
                <c:ptCount val="15"/>
                <c:pt idx="0">
                  <c:v>22</c:v>
                </c:pt>
                <c:pt idx="1">
                  <c:v>18</c:v>
                </c:pt>
                <c:pt idx="2">
                  <c:v>18</c:v>
                </c:pt>
                <c:pt idx="3">
                  <c:v>18</c:v>
                </c:pt>
                <c:pt idx="4">
                  <c:v>18</c:v>
                </c:pt>
                <c:pt idx="5">
                  <c:v>18</c:v>
                </c:pt>
                <c:pt idx="6">
                  <c:v>18</c:v>
                </c:pt>
                <c:pt idx="7">
                  <c:v>18</c:v>
                </c:pt>
                <c:pt idx="8">
                  <c:v>18</c:v>
                </c:pt>
                <c:pt idx="9">
                  <c:v>18</c:v>
                </c:pt>
                <c:pt idx="10">
                  <c:v>18</c:v>
                </c:pt>
                <c:pt idx="11">
                  <c:v>18</c:v>
                </c:pt>
                <c:pt idx="12">
                  <c:v>#N/A</c:v>
                </c:pt>
                <c:pt idx="13">
                  <c:v>#N/A</c:v>
                </c:pt>
                <c:pt idx="14">
                  <c:v>#N/A</c:v>
                </c:pt>
              </c:numCache>
            </c:numRef>
          </c:val>
          <c:extLst>
            <c:ext xmlns:c16="http://schemas.microsoft.com/office/drawing/2014/chart" uri="{C3380CC4-5D6E-409C-BE32-E72D297353CC}">
              <c16:uniqueId val="{00000003-1412-42C1-BACA-2DC3C1CC1CA2}"/>
            </c:ext>
          </c:extLst>
        </c:ser>
        <c:ser>
          <c:idx val="4"/>
          <c:order val="4"/>
          <c:tx>
            <c:strRef>
              <c:f>Graficos!$A$83</c:f>
              <c:strCache>
                <c:ptCount val="1"/>
                <c:pt idx="0">
                  <c:v>Ruim</c:v>
                </c:pt>
              </c:strCache>
            </c:strRef>
          </c:tx>
          <c:spPr>
            <a:solidFill>
              <a:srgbClr val="D9D2E9"/>
            </a:solidFill>
            <a:ln cmpd="sng">
              <a:solidFill>
                <a:srgbClr val="D9D2E9">
                  <a:alpha val="100000"/>
                </a:srgbClr>
              </a:solidFill>
            </a:ln>
          </c:spPr>
          <c:cat>
            <c:strRef>
              <c:f>Graficos!$B$78:$P$78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Graficos!$B$83:$P$83</c:f>
              <c:numCache>
                <c:formatCode>0</c:formatCode>
                <c:ptCount val="15"/>
                <c:pt idx="0">
                  <c:v>17</c:v>
                </c:pt>
                <c:pt idx="1">
                  <c:v>13</c:v>
                </c:pt>
                <c:pt idx="2">
                  <c:v>13</c:v>
                </c:pt>
                <c:pt idx="3">
                  <c:v>13</c:v>
                </c:pt>
                <c:pt idx="4">
                  <c:v>13</c:v>
                </c:pt>
                <c:pt idx="5">
                  <c:v>13</c:v>
                </c:pt>
                <c:pt idx="6">
                  <c:v>13</c:v>
                </c:pt>
                <c:pt idx="7">
                  <c:v>13</c:v>
                </c:pt>
                <c:pt idx="8">
                  <c:v>13</c:v>
                </c:pt>
                <c:pt idx="9">
                  <c:v>13</c:v>
                </c:pt>
                <c:pt idx="10">
                  <c:v>13</c:v>
                </c:pt>
                <c:pt idx="11">
                  <c:v>13</c:v>
                </c:pt>
                <c:pt idx="12">
                  <c:v>#N/A</c:v>
                </c:pt>
                <c:pt idx="13">
                  <c:v>#N/A</c:v>
                </c:pt>
                <c:pt idx="14">
                  <c:v>#N/A</c:v>
                </c:pt>
              </c:numCache>
            </c:numRef>
          </c:val>
          <c:extLst>
            <c:ext xmlns:c16="http://schemas.microsoft.com/office/drawing/2014/chart" uri="{C3380CC4-5D6E-409C-BE32-E72D297353CC}">
              <c16:uniqueId val="{00000004-1412-42C1-BACA-2DC3C1CC1CA2}"/>
            </c:ext>
          </c:extLst>
        </c:ser>
        <c:dLbls>
          <c:showLegendKey val="0"/>
          <c:showVal val="0"/>
          <c:showCatName val="0"/>
          <c:showSerName val="0"/>
          <c:showPercent val="0"/>
          <c:showBubbleSize val="0"/>
        </c:dLbls>
        <c:axId val="775848766"/>
        <c:axId val="982916211"/>
      </c:areaChart>
      <c:lineChart>
        <c:grouping val="standard"/>
        <c:varyColors val="0"/>
        <c:ser>
          <c:idx val="5"/>
          <c:order val="5"/>
          <c:tx>
            <c:strRef>
              <c:f>Graficos!$A$84</c:f>
              <c:strCache>
                <c:ptCount val="1"/>
                <c:pt idx="0">
                  <c:v>RML Abdominal</c:v>
                </c:pt>
              </c:strCache>
            </c:strRef>
          </c:tx>
          <c:spPr>
            <a:ln cmpd="sng">
              <a:solidFill>
                <a:srgbClr val="1F1F1F">
                  <a:alpha val="100000"/>
                </a:srgbClr>
              </a:solidFill>
            </a:ln>
          </c:spPr>
          <c:marker>
            <c:symbol val="none"/>
          </c:marker>
          <c:cat>
            <c:strRef>
              <c:f>Graficos!$B$78:$P$78</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Graficos!$B$84:$P$84</c:f>
              <c:numCache>
                <c:formatCode>0</c:formatCode>
                <c:ptCount val="15"/>
                <c:pt idx="0">
                  <c:v>55</c:v>
                </c:pt>
                <c:pt idx="1">
                  <c:v>60</c:v>
                </c:pt>
                <c:pt idx="2">
                  <c:v>60</c:v>
                </c:pt>
                <c:pt idx="3">
                  <c:v>60</c:v>
                </c:pt>
                <c:pt idx="4">
                  <c:v>60</c:v>
                </c:pt>
                <c:pt idx="5">
                  <c:v>60</c:v>
                </c:pt>
                <c:pt idx="6">
                  <c:v>60</c:v>
                </c:pt>
                <c:pt idx="7">
                  <c:v>60</c:v>
                </c:pt>
                <c:pt idx="8">
                  <c:v>57</c:v>
                </c:pt>
                <c:pt idx="9">
                  <c:v>56</c:v>
                </c:pt>
                <c:pt idx="10">
                  <c:v>56</c:v>
                </c:pt>
                <c:pt idx="11">
                  <c:v>56</c:v>
                </c:pt>
                <c:pt idx="12">
                  <c:v>56</c:v>
                </c:pt>
                <c:pt idx="13">
                  <c:v>56</c:v>
                </c:pt>
                <c:pt idx="14">
                  <c:v>56</c:v>
                </c:pt>
              </c:numCache>
            </c:numRef>
          </c:val>
          <c:smooth val="0"/>
          <c:extLst>
            <c:ext xmlns:c16="http://schemas.microsoft.com/office/drawing/2014/chart" uri="{C3380CC4-5D6E-409C-BE32-E72D297353CC}">
              <c16:uniqueId val="{00000005-1412-42C1-BACA-2DC3C1CC1CA2}"/>
            </c:ext>
          </c:extLst>
        </c:ser>
        <c:dLbls>
          <c:showLegendKey val="0"/>
          <c:showVal val="0"/>
          <c:showCatName val="0"/>
          <c:showSerName val="0"/>
          <c:showPercent val="0"/>
          <c:showBubbleSize val="0"/>
        </c:dLbls>
        <c:marker val="1"/>
        <c:smooth val="0"/>
        <c:axId val="775848766"/>
        <c:axId val="982916211"/>
      </c:lineChart>
      <c:catAx>
        <c:axId val="77584876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982916211"/>
        <c:crosses val="autoZero"/>
        <c:auto val="1"/>
        <c:lblAlgn val="ctr"/>
        <c:lblOffset val="100"/>
        <c:noMultiLvlLbl val="1"/>
      </c:catAx>
      <c:valAx>
        <c:axId val="982916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pt-BR"/>
          </a:p>
        </c:txPr>
        <c:crossAx val="775848766"/>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areaChart>
        <c:grouping val="standard"/>
        <c:varyColors val="1"/>
        <c:ser>
          <c:idx val="0"/>
          <c:order val="0"/>
          <c:tx>
            <c:strRef>
              <c:f>Graficos!$A$111</c:f>
              <c:strCache>
                <c:ptCount val="1"/>
                <c:pt idx="0">
                  <c:v>Excelente</c:v>
                </c:pt>
              </c:strCache>
            </c:strRef>
          </c:tx>
          <c:spPr>
            <a:solidFill>
              <a:srgbClr val="BBEFBB"/>
            </a:solidFill>
            <a:ln cmpd="sng">
              <a:solidFill>
                <a:srgbClr val="BBEFBB">
                  <a:alpha val="100000"/>
                </a:srgbClr>
              </a:solidFill>
            </a:ln>
          </c:spPr>
          <c:cat>
            <c:strRef>
              <c:f>Graficos!$B$110:$P$110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Graficos!$B$111:$P$111</c:f>
              <c:numCache>
                <c:formatCode>0</c:formatCode>
                <c:ptCount val="15"/>
                <c:pt idx="0">
                  <c:v>38.5</c:v>
                </c:pt>
                <c:pt idx="1">
                  <c:v>38.5</c:v>
                </c:pt>
                <c:pt idx="2">
                  <c:v>38.5</c:v>
                </c:pt>
                <c:pt idx="3">
                  <c:v>38.5</c:v>
                </c:pt>
                <c:pt idx="4">
                  <c:v>38.5</c:v>
                </c:pt>
                <c:pt idx="5">
                  <c:v>38.5</c:v>
                </c:pt>
                <c:pt idx="6">
                  <c:v>38.5</c:v>
                </c:pt>
                <c:pt idx="7">
                  <c:v>38.5</c:v>
                </c:pt>
                <c:pt idx="8">
                  <c:v>38.5</c:v>
                </c:pt>
                <c:pt idx="9">
                  <c:v>38.5</c:v>
                </c:pt>
                <c:pt idx="10">
                  <c:v>38.5</c:v>
                </c:pt>
                <c:pt idx="11">
                  <c:v>38.5</c:v>
                </c:pt>
                <c:pt idx="12">
                  <c:v>38.5</c:v>
                </c:pt>
                <c:pt idx="13">
                  <c:v>38.5</c:v>
                </c:pt>
                <c:pt idx="14">
                  <c:v>38.5</c:v>
                </c:pt>
              </c:numCache>
            </c:numRef>
          </c:val>
          <c:extLst>
            <c:ext xmlns:c16="http://schemas.microsoft.com/office/drawing/2014/chart" uri="{C3380CC4-5D6E-409C-BE32-E72D297353CC}">
              <c16:uniqueId val="{00000000-AD2A-4F0C-9E5C-52AC33509525}"/>
            </c:ext>
          </c:extLst>
        </c:ser>
        <c:ser>
          <c:idx val="1"/>
          <c:order val="1"/>
          <c:tx>
            <c:strRef>
              <c:f>Graficos!$A$112</c:f>
              <c:strCache>
                <c:ptCount val="1"/>
                <c:pt idx="0">
                  <c:v>Acima da Média</c:v>
                </c:pt>
              </c:strCache>
            </c:strRef>
          </c:tx>
          <c:spPr>
            <a:solidFill>
              <a:srgbClr val="FFE28E"/>
            </a:solidFill>
            <a:ln cmpd="sng">
              <a:solidFill>
                <a:srgbClr val="FFE28E">
                  <a:alpha val="100000"/>
                </a:srgbClr>
              </a:solidFill>
            </a:ln>
          </c:spPr>
          <c:cat>
            <c:strRef>
              <c:f>Graficos!$B$110:$P$110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Graficos!$B$112:$P$112</c:f>
              <c:numCache>
                <c:formatCode>0</c:formatCode>
                <c:ptCount val="15"/>
                <c:pt idx="0">
                  <c:v>35</c:v>
                </c:pt>
                <c:pt idx="1">
                  <c:v>35</c:v>
                </c:pt>
                <c:pt idx="2">
                  <c:v>35</c:v>
                </c:pt>
                <c:pt idx="3">
                  <c:v>35</c:v>
                </c:pt>
                <c:pt idx="4">
                  <c:v>35</c:v>
                </c:pt>
                <c:pt idx="5">
                  <c:v>35</c:v>
                </c:pt>
                <c:pt idx="6">
                  <c:v>35</c:v>
                </c:pt>
                <c:pt idx="7">
                  <c:v>35</c:v>
                </c:pt>
                <c:pt idx="8">
                  <c:v>35</c:v>
                </c:pt>
                <c:pt idx="9">
                  <c:v>35</c:v>
                </c:pt>
                <c:pt idx="10">
                  <c:v>35</c:v>
                </c:pt>
                <c:pt idx="11">
                  <c:v>35</c:v>
                </c:pt>
                <c:pt idx="12">
                  <c:v>#N/A</c:v>
                </c:pt>
                <c:pt idx="13">
                  <c:v>#N/A</c:v>
                </c:pt>
                <c:pt idx="14">
                  <c:v>#N/A</c:v>
                </c:pt>
              </c:numCache>
            </c:numRef>
          </c:val>
          <c:extLst>
            <c:ext xmlns:c16="http://schemas.microsoft.com/office/drawing/2014/chart" uri="{C3380CC4-5D6E-409C-BE32-E72D297353CC}">
              <c16:uniqueId val="{00000001-AD2A-4F0C-9E5C-52AC33509525}"/>
            </c:ext>
          </c:extLst>
        </c:ser>
        <c:ser>
          <c:idx val="2"/>
          <c:order val="2"/>
          <c:tx>
            <c:strRef>
              <c:f>Graficos!$A$113</c:f>
              <c:strCache>
                <c:ptCount val="1"/>
                <c:pt idx="0">
                  <c:v>Bom</c:v>
                </c:pt>
              </c:strCache>
            </c:strRef>
          </c:tx>
          <c:spPr>
            <a:solidFill>
              <a:srgbClr val="FFA766"/>
            </a:solidFill>
            <a:ln cmpd="sng">
              <a:solidFill>
                <a:srgbClr val="FFA766">
                  <a:alpha val="100000"/>
                </a:srgbClr>
              </a:solidFill>
            </a:ln>
          </c:spPr>
          <c:cat>
            <c:strRef>
              <c:f>Graficos!$B$110:$P$110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Graficos!$B$113:$P$113</c:f>
              <c:numCache>
                <c:formatCode>0</c:formatCode>
                <c:ptCount val="15"/>
                <c:pt idx="0">
                  <c:v>29</c:v>
                </c:pt>
                <c:pt idx="1">
                  <c:v>28</c:v>
                </c:pt>
                <c:pt idx="2">
                  <c:v>28</c:v>
                </c:pt>
                <c:pt idx="3">
                  <c:v>28</c:v>
                </c:pt>
                <c:pt idx="4">
                  <c:v>28</c:v>
                </c:pt>
                <c:pt idx="5">
                  <c:v>28</c:v>
                </c:pt>
                <c:pt idx="6">
                  <c:v>28</c:v>
                </c:pt>
                <c:pt idx="7">
                  <c:v>28</c:v>
                </c:pt>
                <c:pt idx="8">
                  <c:v>28</c:v>
                </c:pt>
                <c:pt idx="9">
                  <c:v>28</c:v>
                </c:pt>
                <c:pt idx="10">
                  <c:v>28</c:v>
                </c:pt>
                <c:pt idx="11">
                  <c:v>28</c:v>
                </c:pt>
                <c:pt idx="12">
                  <c:v>#N/A</c:v>
                </c:pt>
                <c:pt idx="13">
                  <c:v>#N/A</c:v>
                </c:pt>
                <c:pt idx="14">
                  <c:v>#N/A</c:v>
                </c:pt>
              </c:numCache>
            </c:numRef>
          </c:val>
          <c:extLst>
            <c:ext xmlns:c16="http://schemas.microsoft.com/office/drawing/2014/chart" uri="{C3380CC4-5D6E-409C-BE32-E72D297353CC}">
              <c16:uniqueId val="{00000002-AD2A-4F0C-9E5C-52AC33509525}"/>
            </c:ext>
          </c:extLst>
        </c:ser>
        <c:ser>
          <c:idx val="3"/>
          <c:order val="3"/>
          <c:tx>
            <c:strRef>
              <c:f>Graficos!$A$114</c:f>
              <c:strCache>
                <c:ptCount val="1"/>
                <c:pt idx="0">
                  <c:v>Abaixo da Média</c:v>
                </c:pt>
              </c:strCache>
            </c:strRef>
          </c:tx>
          <c:spPr>
            <a:solidFill>
              <a:srgbClr val="FF4F4F"/>
            </a:solidFill>
            <a:ln cmpd="sng">
              <a:solidFill>
                <a:srgbClr val="FF4F4F">
                  <a:alpha val="100000"/>
                </a:srgbClr>
              </a:solidFill>
            </a:ln>
          </c:spPr>
          <c:cat>
            <c:strRef>
              <c:f>Graficos!$B$110:$P$110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Graficos!$B$114:$P$114</c:f>
              <c:numCache>
                <c:formatCode>0</c:formatCode>
                <c:ptCount val="15"/>
                <c:pt idx="0">
                  <c:v>24</c:v>
                </c:pt>
                <c:pt idx="1">
                  <c:v>24</c:v>
                </c:pt>
                <c:pt idx="2">
                  <c:v>24</c:v>
                </c:pt>
                <c:pt idx="3">
                  <c:v>24</c:v>
                </c:pt>
                <c:pt idx="4">
                  <c:v>24</c:v>
                </c:pt>
                <c:pt idx="5">
                  <c:v>24</c:v>
                </c:pt>
                <c:pt idx="6">
                  <c:v>24</c:v>
                </c:pt>
                <c:pt idx="7">
                  <c:v>24</c:v>
                </c:pt>
                <c:pt idx="8">
                  <c:v>24</c:v>
                </c:pt>
                <c:pt idx="9">
                  <c:v>24</c:v>
                </c:pt>
                <c:pt idx="10">
                  <c:v>24</c:v>
                </c:pt>
                <c:pt idx="11">
                  <c:v>24</c:v>
                </c:pt>
                <c:pt idx="12">
                  <c:v>#N/A</c:v>
                </c:pt>
                <c:pt idx="13">
                  <c:v>#N/A</c:v>
                </c:pt>
                <c:pt idx="14">
                  <c:v>#N/A</c:v>
                </c:pt>
              </c:numCache>
            </c:numRef>
          </c:val>
          <c:extLst>
            <c:ext xmlns:c16="http://schemas.microsoft.com/office/drawing/2014/chart" uri="{C3380CC4-5D6E-409C-BE32-E72D297353CC}">
              <c16:uniqueId val="{00000003-AD2A-4F0C-9E5C-52AC33509525}"/>
            </c:ext>
          </c:extLst>
        </c:ser>
        <c:ser>
          <c:idx val="4"/>
          <c:order val="4"/>
          <c:tx>
            <c:strRef>
              <c:f>Graficos!$A$115</c:f>
              <c:strCache>
                <c:ptCount val="1"/>
                <c:pt idx="0">
                  <c:v>Ruim</c:v>
                </c:pt>
              </c:strCache>
            </c:strRef>
          </c:tx>
          <c:spPr>
            <a:solidFill>
              <a:srgbClr val="D9D2E9"/>
            </a:solidFill>
            <a:ln cmpd="sng">
              <a:solidFill>
                <a:srgbClr val="D9D2E9">
                  <a:alpha val="100000"/>
                </a:srgbClr>
              </a:solidFill>
            </a:ln>
          </c:spPr>
          <c:cat>
            <c:strRef>
              <c:f>Graficos!$B$110:$P$110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Graficos!$B$115:$P$115</c:f>
              <c:numCache>
                <c:formatCode>0</c:formatCode>
                <c:ptCount val="15"/>
                <c:pt idx="0">
                  <c:v>18</c:v>
                </c:pt>
                <c:pt idx="1">
                  <c:v>16</c:v>
                </c:pt>
                <c:pt idx="2">
                  <c:v>16</c:v>
                </c:pt>
                <c:pt idx="3">
                  <c:v>16</c:v>
                </c:pt>
                <c:pt idx="4">
                  <c:v>16</c:v>
                </c:pt>
                <c:pt idx="5">
                  <c:v>16</c:v>
                </c:pt>
                <c:pt idx="6">
                  <c:v>16</c:v>
                </c:pt>
                <c:pt idx="7">
                  <c:v>16</c:v>
                </c:pt>
                <c:pt idx="8">
                  <c:v>16</c:v>
                </c:pt>
                <c:pt idx="9">
                  <c:v>16</c:v>
                </c:pt>
                <c:pt idx="10">
                  <c:v>16</c:v>
                </c:pt>
                <c:pt idx="11">
                  <c:v>16</c:v>
                </c:pt>
                <c:pt idx="12">
                  <c:v>#N/A</c:v>
                </c:pt>
                <c:pt idx="13">
                  <c:v>#N/A</c:v>
                </c:pt>
                <c:pt idx="14">
                  <c:v>#N/A</c:v>
                </c:pt>
              </c:numCache>
            </c:numRef>
          </c:val>
          <c:extLst>
            <c:ext xmlns:c16="http://schemas.microsoft.com/office/drawing/2014/chart" uri="{C3380CC4-5D6E-409C-BE32-E72D297353CC}">
              <c16:uniqueId val="{00000004-AD2A-4F0C-9E5C-52AC33509525}"/>
            </c:ext>
          </c:extLst>
        </c:ser>
        <c:dLbls>
          <c:showLegendKey val="0"/>
          <c:showVal val="0"/>
          <c:showCatName val="0"/>
          <c:showSerName val="0"/>
          <c:showPercent val="0"/>
          <c:showBubbleSize val="0"/>
        </c:dLbls>
        <c:axId val="619831558"/>
        <c:axId val="1095587591"/>
      </c:areaChart>
      <c:lineChart>
        <c:grouping val="standard"/>
        <c:varyColors val="0"/>
        <c:ser>
          <c:idx val="5"/>
          <c:order val="5"/>
          <c:tx>
            <c:strRef>
              <c:f>Graficos!$A$116</c:f>
              <c:strCache>
                <c:ptCount val="1"/>
                <c:pt idx="0">
                  <c:v>Flexibilidade</c:v>
                </c:pt>
              </c:strCache>
            </c:strRef>
          </c:tx>
          <c:spPr>
            <a:ln cmpd="sng">
              <a:solidFill>
                <a:srgbClr val="1F1F1F">
                  <a:alpha val="100000"/>
                </a:srgbClr>
              </a:solidFill>
            </a:ln>
          </c:spPr>
          <c:marker>
            <c:symbol val="none"/>
          </c:marker>
          <c:cat>
            <c:strRef>
              <c:f>Graficos!$B$110:$P$110</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Graficos!$B$116:$P$116</c:f>
              <c:numCache>
                <c:formatCode>0</c:formatCode>
                <c:ptCount val="15"/>
                <c:pt idx="0">
                  <c:v>27.2</c:v>
                </c:pt>
                <c:pt idx="1">
                  <c:v>31.5</c:v>
                </c:pt>
                <c:pt idx="2">
                  <c:v>31.5</c:v>
                </c:pt>
                <c:pt idx="3">
                  <c:v>31</c:v>
                </c:pt>
                <c:pt idx="4">
                  <c:v>32</c:v>
                </c:pt>
                <c:pt idx="5">
                  <c:v>32</c:v>
                </c:pt>
                <c:pt idx="6">
                  <c:v>32</c:v>
                </c:pt>
                <c:pt idx="7">
                  <c:v>32</c:v>
                </c:pt>
                <c:pt idx="8">
                  <c:v>31</c:v>
                </c:pt>
                <c:pt idx="9">
                  <c:v>31</c:v>
                </c:pt>
                <c:pt idx="10">
                  <c:v>31</c:v>
                </c:pt>
                <c:pt idx="11">
                  <c:v>31</c:v>
                </c:pt>
                <c:pt idx="12">
                  <c:v>31</c:v>
                </c:pt>
                <c:pt idx="13">
                  <c:v>31</c:v>
                </c:pt>
                <c:pt idx="14">
                  <c:v>31</c:v>
                </c:pt>
              </c:numCache>
            </c:numRef>
          </c:val>
          <c:smooth val="0"/>
          <c:extLst>
            <c:ext xmlns:c16="http://schemas.microsoft.com/office/drawing/2014/chart" uri="{C3380CC4-5D6E-409C-BE32-E72D297353CC}">
              <c16:uniqueId val="{00000005-AD2A-4F0C-9E5C-52AC33509525}"/>
            </c:ext>
          </c:extLst>
        </c:ser>
        <c:dLbls>
          <c:showLegendKey val="0"/>
          <c:showVal val="0"/>
          <c:showCatName val="0"/>
          <c:showSerName val="0"/>
          <c:showPercent val="0"/>
          <c:showBubbleSize val="0"/>
        </c:dLbls>
        <c:marker val="1"/>
        <c:smooth val="0"/>
        <c:axId val="619831558"/>
        <c:axId val="1095587591"/>
      </c:lineChart>
      <c:catAx>
        <c:axId val="61983155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095587591"/>
        <c:crosses val="autoZero"/>
        <c:auto val="1"/>
        <c:lblAlgn val="ctr"/>
        <c:lblOffset val="100"/>
        <c:noMultiLvlLbl val="1"/>
      </c:catAx>
      <c:valAx>
        <c:axId val="1095587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pt-BR"/>
          </a:p>
        </c:txPr>
        <c:crossAx val="619831558"/>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2000" b="1">
                <a:solidFill>
                  <a:srgbClr val="000000"/>
                </a:solidFill>
                <a:latin typeface="+mn-lt"/>
              </a:defRPr>
            </a:pPr>
            <a:r>
              <a:rPr sz="2000" b="1">
                <a:solidFill>
                  <a:srgbClr val="000000"/>
                </a:solidFill>
                <a:latin typeface="+mn-lt"/>
              </a:rPr>
              <a:t>Atual</a:t>
            </a:r>
          </a:p>
        </c:rich>
      </c:tx>
      <c:overlay val="0"/>
    </c:title>
    <c:autoTitleDeleted val="0"/>
    <c:plotArea>
      <c:layout>
        <c:manualLayout>
          <c:xMode val="edge"/>
          <c:yMode val="edge"/>
          <c:x val="0.38121118012422361"/>
          <c:y val="0.15229885057471265"/>
          <c:w val="0.59627329192546585"/>
          <c:h val="0.79770114942528725"/>
        </c:manualLayout>
      </c:layout>
      <c:pieChart>
        <c:varyColors val="1"/>
        <c:ser>
          <c:idx val="0"/>
          <c:order val="0"/>
          <c:dPt>
            <c:idx val="0"/>
            <c:bubble3D val="0"/>
            <c:spPr>
              <a:solidFill>
                <a:srgbClr val="93C47D"/>
              </a:solidFill>
            </c:spPr>
            <c:extLst>
              <c:ext xmlns:c16="http://schemas.microsoft.com/office/drawing/2014/chart" uri="{C3380CC4-5D6E-409C-BE32-E72D297353CC}">
                <c16:uniqueId val="{00000001-8155-400B-9B4A-20403EBEC399}"/>
              </c:ext>
            </c:extLst>
          </c:dPt>
          <c:dPt>
            <c:idx val="1"/>
            <c:bubble3D val="0"/>
            <c:spPr>
              <a:solidFill>
                <a:srgbClr val="FFB161"/>
              </a:solidFill>
            </c:spPr>
            <c:extLst>
              <c:ext xmlns:c16="http://schemas.microsoft.com/office/drawing/2014/chart" uri="{C3380CC4-5D6E-409C-BE32-E72D297353CC}">
                <c16:uniqueId val="{00000003-8155-400B-9B4A-20403EBEC399}"/>
              </c:ext>
            </c:extLst>
          </c:dPt>
          <c:cat>
            <c:strRef>
              <c:f>Graficos!$A$142:$A$143</c:f>
              <c:strCache>
                <c:ptCount val="2"/>
                <c:pt idx="0">
                  <c:v>Massa magra atual</c:v>
                </c:pt>
                <c:pt idx="1">
                  <c:v>Gordura atual</c:v>
                </c:pt>
              </c:strCache>
            </c:strRef>
          </c:cat>
          <c:val>
            <c:numRef>
              <c:f>Graficos!$B$142:$B$143</c:f>
              <c:numCache>
                <c:formatCode>0.0</c:formatCode>
                <c:ptCount val="2"/>
                <c:pt idx="0">
                  <c:v>63.86825951586416</c:v>
                </c:pt>
                <c:pt idx="1">
                  <c:v>4.7317404841358313</c:v>
                </c:pt>
              </c:numCache>
            </c:numRef>
          </c:val>
          <c:extLst>
            <c:ext xmlns:c16="http://schemas.microsoft.com/office/drawing/2014/chart" uri="{C3380CC4-5D6E-409C-BE32-E72D297353CC}">
              <c16:uniqueId val="{00000004-8155-400B-9B4A-20403EBEC399}"/>
            </c:ext>
          </c:extLst>
        </c:ser>
        <c:dLbls>
          <c:showLegendKey val="0"/>
          <c:showVal val="0"/>
          <c:showCatName val="0"/>
          <c:showSerName val="0"/>
          <c:showPercent val="0"/>
          <c:showBubbleSize val="0"/>
          <c:showLeaderLines val="1"/>
        </c:dLbls>
        <c:firstSliceAng val="0"/>
      </c:pieChart>
    </c:plotArea>
    <c:legend>
      <c:legendPos val="l"/>
      <c:overlay val="0"/>
      <c:txPr>
        <a:bodyPr/>
        <a:lstStyle/>
        <a:p>
          <a:pPr lvl="0">
            <a:defRPr b="0">
              <a:solidFill>
                <a:srgbClr val="1A1A1A"/>
              </a:solidFill>
              <a:latin typeface="+mn-lt"/>
            </a:defRPr>
          </a:pPr>
          <a:endParaRPr lang="pt-BR"/>
        </a:p>
      </c:txPr>
    </c:legend>
    <c:plotVisOnly val="1"/>
    <c:dispBlanksAs val="zero"/>
    <c:showDLblsOverMax val="1"/>
  </c:chart>
  <c:spPr>
    <a:solidFill>
      <a:srgbClr val="FFFFFF"/>
    </a:solidFill>
  </c:sp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2000" b="1">
                <a:solidFill>
                  <a:srgbClr val="000000"/>
                </a:solidFill>
                <a:latin typeface="+mn-lt"/>
              </a:defRPr>
            </a:pPr>
            <a:r>
              <a:rPr sz="2000" b="1">
                <a:solidFill>
                  <a:srgbClr val="000000"/>
                </a:solidFill>
                <a:latin typeface="+mn-lt"/>
              </a:rPr>
              <a:t>Meta Proposta</a:t>
            </a:r>
          </a:p>
        </c:rich>
      </c:tx>
      <c:overlay val="0"/>
    </c:title>
    <c:autoTitleDeleted val="0"/>
    <c:plotArea>
      <c:layout/>
      <c:pieChart>
        <c:varyColors val="1"/>
        <c:ser>
          <c:idx val="0"/>
          <c:order val="0"/>
          <c:dPt>
            <c:idx val="0"/>
            <c:bubble3D val="0"/>
            <c:spPr>
              <a:solidFill>
                <a:srgbClr val="93C47D"/>
              </a:solidFill>
            </c:spPr>
            <c:extLst>
              <c:ext xmlns:c16="http://schemas.microsoft.com/office/drawing/2014/chart" uri="{C3380CC4-5D6E-409C-BE32-E72D297353CC}">
                <c16:uniqueId val="{00000001-2A41-4025-BB00-71D39871D02B}"/>
              </c:ext>
            </c:extLst>
          </c:dPt>
          <c:dPt>
            <c:idx val="1"/>
            <c:bubble3D val="0"/>
            <c:explosion val="25"/>
            <c:spPr>
              <a:solidFill>
                <a:srgbClr val="6AA84F"/>
              </a:solidFill>
            </c:spPr>
            <c:extLst>
              <c:ext xmlns:c16="http://schemas.microsoft.com/office/drawing/2014/chart" uri="{C3380CC4-5D6E-409C-BE32-E72D297353CC}">
                <c16:uniqueId val="{00000003-2A41-4025-BB00-71D39871D02B}"/>
              </c:ext>
            </c:extLst>
          </c:dPt>
          <c:dPt>
            <c:idx val="2"/>
            <c:bubble3D val="0"/>
            <c:spPr>
              <a:solidFill>
                <a:srgbClr val="FFB161"/>
              </a:solidFill>
            </c:spPr>
            <c:extLst>
              <c:ext xmlns:c16="http://schemas.microsoft.com/office/drawing/2014/chart" uri="{C3380CC4-5D6E-409C-BE32-E72D297353CC}">
                <c16:uniqueId val="{00000005-2A41-4025-BB00-71D39871D02B}"/>
              </c:ext>
            </c:extLst>
          </c:dPt>
          <c:dPt>
            <c:idx val="3"/>
            <c:bubble3D val="0"/>
            <c:explosion val="25"/>
            <c:spPr>
              <a:solidFill>
                <a:srgbClr val="FF9900"/>
              </a:solidFill>
            </c:spPr>
            <c:extLst>
              <c:ext xmlns:c16="http://schemas.microsoft.com/office/drawing/2014/chart" uri="{C3380CC4-5D6E-409C-BE32-E72D297353CC}">
                <c16:uniqueId val="{00000007-2A41-4025-BB00-71D39871D02B}"/>
              </c:ext>
            </c:extLst>
          </c:dPt>
          <c:cat>
            <c:strRef>
              <c:f>Graficos!$A$150:$A$153</c:f>
              <c:strCache>
                <c:ptCount val="4"/>
                <c:pt idx="0">
                  <c:v>Massa magra atual</c:v>
                </c:pt>
                <c:pt idx="1">
                  <c:v>Meta de aumento de massa magra</c:v>
                </c:pt>
                <c:pt idx="2">
                  <c:v>Gordura atual</c:v>
                </c:pt>
                <c:pt idx="3">
                  <c:v>Ganho de gordura estimado</c:v>
                </c:pt>
              </c:strCache>
            </c:strRef>
          </c:cat>
          <c:val>
            <c:numRef>
              <c:f>Graficos!$B$150:$B$153</c:f>
              <c:numCache>
                <c:formatCode>0.0</c:formatCode>
                <c:ptCount val="4"/>
                <c:pt idx="0">
                  <c:v>63.86825951586416</c:v>
                </c:pt>
                <c:pt idx="1">
                  <c:v>0.13174048413583961</c:v>
                </c:pt>
                <c:pt idx="2">
                  <c:v>4.7317404841358313</c:v>
                </c:pt>
                <c:pt idx="3">
                  <c:v>0.38922725779965273</c:v>
                </c:pt>
              </c:numCache>
            </c:numRef>
          </c:val>
          <c:extLst>
            <c:ext xmlns:c16="http://schemas.microsoft.com/office/drawing/2014/chart" uri="{C3380CC4-5D6E-409C-BE32-E72D297353CC}">
              <c16:uniqueId val="{00000008-2A41-4025-BB00-71D39871D02B}"/>
            </c:ext>
          </c:extLst>
        </c:ser>
        <c:dLbls>
          <c:showLegendKey val="0"/>
          <c:showVal val="0"/>
          <c:showCatName val="0"/>
          <c:showSerName val="0"/>
          <c:showPercent val="0"/>
          <c:showBubbleSize val="0"/>
          <c:showLeaderLines val="1"/>
        </c:dLbls>
        <c:firstSliceAng val="0"/>
      </c:pieChart>
    </c:plotArea>
    <c:legend>
      <c:legendPos val="l"/>
      <c:overlay val="0"/>
      <c:txPr>
        <a:bodyPr/>
        <a:lstStyle/>
        <a:p>
          <a:pPr lvl="0">
            <a:defRPr b="0">
              <a:solidFill>
                <a:srgbClr val="1A1A1A"/>
              </a:solidFill>
              <a:latin typeface="+mn-lt"/>
            </a:defRPr>
          </a:pPr>
          <a:endParaRPr lang="pt-BR"/>
        </a:p>
      </c:txPr>
    </c:legend>
    <c:plotVisOnly val="1"/>
    <c:dispBlanksAs val="zero"/>
    <c:showDLblsOverMax val="1"/>
  </c:chart>
  <c:spPr>
    <a:solidFill>
      <a:srgbClr val="FFFFFF"/>
    </a:solidFill>
  </c:sp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areaChart>
        <c:grouping val="standard"/>
        <c:varyColors val="1"/>
        <c:ser>
          <c:idx val="0"/>
          <c:order val="0"/>
          <c:tx>
            <c:strRef>
              <c:f>Graficos!$A$157</c:f>
              <c:strCache>
                <c:ptCount val="1"/>
                <c:pt idx="0">
                  <c:v>Superior</c:v>
                </c:pt>
              </c:strCache>
            </c:strRef>
          </c:tx>
          <c:spPr>
            <a:solidFill>
              <a:srgbClr val="BBEFBB"/>
            </a:solidFill>
            <a:ln cmpd="sng">
              <a:solidFill>
                <a:srgbClr val="BBEFBB">
                  <a:alpha val="100000"/>
                </a:srgbClr>
              </a:solidFill>
            </a:ln>
          </c:spPr>
          <c:cat>
            <c:strRef>
              <c:f>Graficos!$B$156:$P$156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Graficos!$B$157:$P$157</c:f>
              <c:numCache>
                <c:formatCode>0.00</c:formatCode>
                <c:ptCount val="15"/>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1.1000000000000001</c:v>
                </c:pt>
                <c:pt idx="14">
                  <c:v>1.1000000000000001</c:v>
                </c:pt>
              </c:numCache>
            </c:numRef>
          </c:val>
          <c:extLst>
            <c:ext xmlns:c16="http://schemas.microsoft.com/office/drawing/2014/chart" uri="{C3380CC4-5D6E-409C-BE32-E72D297353CC}">
              <c16:uniqueId val="{00000000-F5D2-41DD-9E9B-DEC78B48CE4B}"/>
            </c:ext>
          </c:extLst>
        </c:ser>
        <c:ser>
          <c:idx val="1"/>
          <c:order val="1"/>
          <c:tx>
            <c:strRef>
              <c:f>Graficos!$A$158</c:f>
              <c:strCache>
                <c:ptCount val="1"/>
                <c:pt idx="0">
                  <c:v>Excelente</c:v>
                </c:pt>
              </c:strCache>
            </c:strRef>
          </c:tx>
          <c:spPr>
            <a:solidFill>
              <a:srgbClr val="FFE28E"/>
            </a:solidFill>
            <a:ln cmpd="sng">
              <a:solidFill>
                <a:srgbClr val="FFE28E">
                  <a:alpha val="100000"/>
                </a:srgbClr>
              </a:solidFill>
            </a:ln>
          </c:spPr>
          <c:cat>
            <c:strRef>
              <c:f>Graficos!$B$156:$P$156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Graficos!$B$158:$P$158</c:f>
              <c:numCache>
                <c:formatCode>0.00</c:formatCode>
                <c:ptCount val="15"/>
                <c:pt idx="0">
                  <c:v>1</c:v>
                </c:pt>
                <c:pt idx="1">
                  <c:v>0.9</c:v>
                </c:pt>
                <c:pt idx="2">
                  <c:v>0.9</c:v>
                </c:pt>
                <c:pt idx="3">
                  <c:v>0.9</c:v>
                </c:pt>
                <c:pt idx="4">
                  <c:v>0.9</c:v>
                </c:pt>
                <c:pt idx="5">
                  <c:v>0.9</c:v>
                </c:pt>
                <c:pt idx="6">
                  <c:v>0.9</c:v>
                </c:pt>
                <c:pt idx="7">
                  <c:v>0.9</c:v>
                </c:pt>
                <c:pt idx="8">
                  <c:v>0.9</c:v>
                </c:pt>
                <c:pt idx="9">
                  <c:v>0.9</c:v>
                </c:pt>
                <c:pt idx="10">
                  <c:v>0.9</c:v>
                </c:pt>
                <c:pt idx="11">
                  <c:v>0.9</c:v>
                </c:pt>
                <c:pt idx="12">
                  <c:v>#N/A</c:v>
                </c:pt>
                <c:pt idx="13">
                  <c:v>#N/A</c:v>
                </c:pt>
                <c:pt idx="14">
                  <c:v>#N/A</c:v>
                </c:pt>
              </c:numCache>
            </c:numRef>
          </c:val>
          <c:extLst>
            <c:ext xmlns:c16="http://schemas.microsoft.com/office/drawing/2014/chart" uri="{C3380CC4-5D6E-409C-BE32-E72D297353CC}">
              <c16:uniqueId val="{00000001-F5D2-41DD-9E9B-DEC78B48CE4B}"/>
            </c:ext>
          </c:extLst>
        </c:ser>
        <c:ser>
          <c:idx val="2"/>
          <c:order val="2"/>
          <c:tx>
            <c:strRef>
              <c:f>Graficos!$A$159</c:f>
              <c:strCache>
                <c:ptCount val="1"/>
                <c:pt idx="0">
                  <c:v>Boa</c:v>
                </c:pt>
              </c:strCache>
            </c:strRef>
          </c:tx>
          <c:spPr>
            <a:solidFill>
              <a:srgbClr val="FFA766"/>
            </a:solidFill>
            <a:ln cmpd="sng">
              <a:solidFill>
                <a:srgbClr val="FFA766">
                  <a:alpha val="100000"/>
                </a:srgbClr>
              </a:solidFill>
            </a:ln>
          </c:spPr>
          <c:cat>
            <c:strRef>
              <c:f>Graficos!$B$156:$P$156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Graficos!$B$159:$P$159</c:f>
              <c:numCache>
                <c:formatCode>0.00</c:formatCode>
                <c:ptCount val="15"/>
                <c:pt idx="0">
                  <c:v>0.89</c:v>
                </c:pt>
                <c:pt idx="1">
                  <c:v>0.8</c:v>
                </c:pt>
                <c:pt idx="2">
                  <c:v>0.8</c:v>
                </c:pt>
                <c:pt idx="3">
                  <c:v>0.8</c:v>
                </c:pt>
                <c:pt idx="4">
                  <c:v>0.8</c:v>
                </c:pt>
                <c:pt idx="5">
                  <c:v>0.8</c:v>
                </c:pt>
                <c:pt idx="6">
                  <c:v>0.8</c:v>
                </c:pt>
                <c:pt idx="7">
                  <c:v>0.8</c:v>
                </c:pt>
                <c:pt idx="8">
                  <c:v>0.8</c:v>
                </c:pt>
                <c:pt idx="9">
                  <c:v>0.8</c:v>
                </c:pt>
                <c:pt idx="10">
                  <c:v>0.8</c:v>
                </c:pt>
                <c:pt idx="11">
                  <c:v>0.8</c:v>
                </c:pt>
                <c:pt idx="12">
                  <c:v>#N/A</c:v>
                </c:pt>
                <c:pt idx="13">
                  <c:v>#N/A</c:v>
                </c:pt>
                <c:pt idx="14">
                  <c:v>#N/A</c:v>
                </c:pt>
              </c:numCache>
            </c:numRef>
          </c:val>
          <c:extLst>
            <c:ext xmlns:c16="http://schemas.microsoft.com/office/drawing/2014/chart" uri="{C3380CC4-5D6E-409C-BE32-E72D297353CC}">
              <c16:uniqueId val="{00000002-F5D2-41DD-9E9B-DEC78B48CE4B}"/>
            </c:ext>
          </c:extLst>
        </c:ser>
        <c:ser>
          <c:idx val="3"/>
          <c:order val="3"/>
          <c:tx>
            <c:strRef>
              <c:f>Graficos!$A$160</c:f>
              <c:strCache>
                <c:ptCount val="1"/>
                <c:pt idx="0">
                  <c:v>Média</c:v>
                </c:pt>
              </c:strCache>
            </c:strRef>
          </c:tx>
          <c:spPr>
            <a:solidFill>
              <a:srgbClr val="FF4F4F"/>
            </a:solidFill>
            <a:ln cmpd="sng">
              <a:solidFill>
                <a:srgbClr val="FF4F4F">
                  <a:alpha val="100000"/>
                </a:srgbClr>
              </a:solidFill>
            </a:ln>
          </c:spPr>
          <c:cat>
            <c:strRef>
              <c:f>Graficos!$B$156:$P$156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Graficos!$B$160:$P$160</c:f>
              <c:numCache>
                <c:formatCode>0.00</c:formatCode>
                <c:ptCount val="15"/>
                <c:pt idx="0">
                  <c:v>0.81</c:v>
                </c:pt>
                <c:pt idx="1">
                  <c:v>0.72</c:v>
                </c:pt>
                <c:pt idx="2">
                  <c:v>0.72</c:v>
                </c:pt>
                <c:pt idx="3">
                  <c:v>0.72</c:v>
                </c:pt>
                <c:pt idx="4">
                  <c:v>0.72</c:v>
                </c:pt>
                <c:pt idx="5">
                  <c:v>0.72</c:v>
                </c:pt>
                <c:pt idx="6">
                  <c:v>0.72</c:v>
                </c:pt>
                <c:pt idx="7">
                  <c:v>0.72</c:v>
                </c:pt>
                <c:pt idx="8">
                  <c:v>0.72</c:v>
                </c:pt>
                <c:pt idx="9">
                  <c:v>0.72</c:v>
                </c:pt>
                <c:pt idx="10">
                  <c:v>0.72</c:v>
                </c:pt>
                <c:pt idx="11">
                  <c:v>0.72</c:v>
                </c:pt>
                <c:pt idx="12">
                  <c:v>#N/A</c:v>
                </c:pt>
                <c:pt idx="13">
                  <c:v>#N/A</c:v>
                </c:pt>
                <c:pt idx="14">
                  <c:v>#N/A</c:v>
                </c:pt>
              </c:numCache>
            </c:numRef>
          </c:val>
          <c:extLst>
            <c:ext xmlns:c16="http://schemas.microsoft.com/office/drawing/2014/chart" uri="{C3380CC4-5D6E-409C-BE32-E72D297353CC}">
              <c16:uniqueId val="{00000003-F5D2-41DD-9E9B-DEC78B48CE4B}"/>
            </c:ext>
          </c:extLst>
        </c:ser>
        <c:ser>
          <c:idx val="4"/>
          <c:order val="4"/>
          <c:tx>
            <c:strRef>
              <c:f>Graficos!$A$161</c:f>
              <c:strCache>
                <c:ptCount val="1"/>
                <c:pt idx="0">
                  <c:v>Fraca</c:v>
                </c:pt>
              </c:strCache>
            </c:strRef>
          </c:tx>
          <c:spPr>
            <a:solidFill>
              <a:srgbClr val="D9D2E9"/>
            </a:solidFill>
            <a:ln cmpd="sng">
              <a:solidFill>
                <a:srgbClr val="D9D2E9">
                  <a:alpha val="100000"/>
                </a:srgbClr>
              </a:solidFill>
            </a:ln>
          </c:spPr>
          <c:cat>
            <c:strRef>
              <c:f>Graficos!$B$156:$P$156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Graficos!$B$161:$P$161</c:f>
              <c:numCache>
                <c:formatCode>0.00</c:formatCode>
                <c:ptCount val="15"/>
                <c:pt idx="0">
                  <c:v>0.73</c:v>
                </c:pt>
                <c:pt idx="1">
                  <c:v>0.64</c:v>
                </c:pt>
                <c:pt idx="2">
                  <c:v>0.64</c:v>
                </c:pt>
                <c:pt idx="3">
                  <c:v>0.64</c:v>
                </c:pt>
                <c:pt idx="4">
                  <c:v>0.64</c:v>
                </c:pt>
                <c:pt idx="5">
                  <c:v>0.64</c:v>
                </c:pt>
                <c:pt idx="6">
                  <c:v>0.64</c:v>
                </c:pt>
                <c:pt idx="7">
                  <c:v>0.64</c:v>
                </c:pt>
                <c:pt idx="8">
                  <c:v>0.64</c:v>
                </c:pt>
                <c:pt idx="9">
                  <c:v>0.64</c:v>
                </c:pt>
                <c:pt idx="10">
                  <c:v>0.64</c:v>
                </c:pt>
                <c:pt idx="11">
                  <c:v>0.64</c:v>
                </c:pt>
                <c:pt idx="12">
                  <c:v>#N/A</c:v>
                </c:pt>
                <c:pt idx="13">
                  <c:v>#N/A</c:v>
                </c:pt>
                <c:pt idx="14">
                  <c:v>#N/A</c:v>
                </c:pt>
              </c:numCache>
            </c:numRef>
          </c:val>
          <c:extLst>
            <c:ext xmlns:c16="http://schemas.microsoft.com/office/drawing/2014/chart" uri="{C3380CC4-5D6E-409C-BE32-E72D297353CC}">
              <c16:uniqueId val="{00000004-F5D2-41DD-9E9B-DEC78B48CE4B}"/>
            </c:ext>
          </c:extLst>
        </c:ser>
        <c:dLbls>
          <c:showLegendKey val="0"/>
          <c:showVal val="0"/>
          <c:showCatName val="0"/>
          <c:showSerName val="0"/>
          <c:showPercent val="0"/>
          <c:showBubbleSize val="0"/>
        </c:dLbls>
        <c:axId val="105784946"/>
        <c:axId val="1051102928"/>
      </c:areaChart>
      <c:lineChart>
        <c:grouping val="standard"/>
        <c:varyColors val="0"/>
        <c:ser>
          <c:idx val="5"/>
          <c:order val="5"/>
          <c:tx>
            <c:strRef>
              <c:f>Graficos!$A$162</c:f>
              <c:strCache>
                <c:ptCount val="1"/>
                <c:pt idx="0">
                  <c:v>Supino relativo</c:v>
                </c:pt>
              </c:strCache>
            </c:strRef>
          </c:tx>
          <c:spPr>
            <a:ln cmpd="sng">
              <a:solidFill>
                <a:schemeClr val="dk1"/>
              </a:solidFill>
            </a:ln>
          </c:spPr>
          <c:marker>
            <c:symbol val="none"/>
          </c:marker>
          <c:cat>
            <c:strRef>
              <c:f>Graficos!$B$156:$P$156</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Graficos!$B$162:$P$162</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5-F5D2-41DD-9E9B-DEC78B48CE4B}"/>
            </c:ext>
          </c:extLst>
        </c:ser>
        <c:dLbls>
          <c:showLegendKey val="0"/>
          <c:showVal val="0"/>
          <c:showCatName val="0"/>
          <c:showSerName val="0"/>
          <c:showPercent val="0"/>
          <c:showBubbleSize val="0"/>
        </c:dLbls>
        <c:marker val="1"/>
        <c:smooth val="0"/>
        <c:axId val="105784946"/>
        <c:axId val="1051102928"/>
      </c:lineChart>
      <c:catAx>
        <c:axId val="10578494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051102928"/>
        <c:crosses val="autoZero"/>
        <c:auto val="1"/>
        <c:lblAlgn val="ctr"/>
        <c:lblOffset val="100"/>
        <c:noMultiLvlLbl val="1"/>
      </c:catAx>
      <c:valAx>
        <c:axId val="1051102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105784946"/>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areaChart>
        <c:grouping val="standard"/>
        <c:varyColors val="1"/>
        <c:ser>
          <c:idx val="0"/>
          <c:order val="0"/>
          <c:tx>
            <c:strRef>
              <c:f>Graficos!$A$189</c:f>
              <c:strCache>
                <c:ptCount val="1"/>
                <c:pt idx="0">
                  <c:v>Superior</c:v>
                </c:pt>
              </c:strCache>
            </c:strRef>
          </c:tx>
          <c:spPr>
            <a:solidFill>
              <a:srgbClr val="BBEFBB"/>
            </a:solidFill>
            <a:ln cmpd="sng">
              <a:solidFill>
                <a:srgbClr val="BBEFBB">
                  <a:alpha val="100000"/>
                </a:srgbClr>
              </a:solidFill>
            </a:ln>
          </c:spPr>
          <c:cat>
            <c:strRef>
              <c:f>Graficos!$B$188:$P$188</c:f>
              <c:strCache>
                <c:ptCount val="5"/>
                <c:pt idx="0">
                  <c:v>Av1</c:v>
                </c:pt>
                <c:pt idx="1">
                  <c:v>Av2</c:v>
                </c:pt>
                <c:pt idx="2">
                  <c:v>Av3</c:v>
                </c:pt>
                <c:pt idx="3">
                  <c:v>Av4</c:v>
                </c:pt>
                <c:pt idx="4">
                  <c:v>Av5</c:v>
                </c:pt>
              </c:strCache>
            </c:strRef>
          </c:cat>
          <c:val>
            <c:numRef>
              <c:f>Graficos!$B$189:$P$189</c:f>
              <c:numCache>
                <c:formatCode>0.00</c:formatCode>
                <c:ptCount val="15"/>
                <c:pt idx="0">
                  <c:v>2.0020000000000002</c:v>
                </c:pt>
                <c:pt idx="1">
                  <c:v>2.0020000000000002</c:v>
                </c:pt>
                <c:pt idx="2">
                  <c:v>2.0020000000000002</c:v>
                </c:pt>
                <c:pt idx="3">
                  <c:v>2.0020000000000002</c:v>
                </c:pt>
                <c:pt idx="4">
                  <c:v>2.0020000000000002</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9FC0-4433-93F6-B9616510BF35}"/>
            </c:ext>
          </c:extLst>
        </c:ser>
        <c:ser>
          <c:idx val="1"/>
          <c:order val="1"/>
          <c:tx>
            <c:strRef>
              <c:f>Graficos!$A$190</c:f>
              <c:strCache>
                <c:ptCount val="1"/>
                <c:pt idx="0">
                  <c:v>Excelente</c:v>
                </c:pt>
              </c:strCache>
            </c:strRef>
          </c:tx>
          <c:spPr>
            <a:solidFill>
              <a:srgbClr val="FFE28E"/>
            </a:solidFill>
            <a:ln cmpd="sng">
              <a:solidFill>
                <a:srgbClr val="FFE28E">
                  <a:alpha val="100000"/>
                </a:srgbClr>
              </a:solidFill>
            </a:ln>
          </c:spPr>
          <c:cat>
            <c:strRef>
              <c:f>Graficos!$B$188:$P$188</c:f>
              <c:strCache>
                <c:ptCount val="5"/>
                <c:pt idx="0">
                  <c:v>Av1</c:v>
                </c:pt>
                <c:pt idx="1">
                  <c:v>Av2</c:v>
                </c:pt>
                <c:pt idx="2">
                  <c:v>Av3</c:v>
                </c:pt>
                <c:pt idx="3">
                  <c:v>Av4</c:v>
                </c:pt>
                <c:pt idx="4">
                  <c:v>Av5</c:v>
                </c:pt>
              </c:strCache>
            </c:strRef>
          </c:cat>
          <c:val>
            <c:numRef>
              <c:f>Graficos!$B$190:$P$190</c:f>
              <c:numCache>
                <c:formatCode>0.00</c:formatCode>
                <c:ptCount val="15"/>
                <c:pt idx="0">
                  <c:v>1.82</c:v>
                </c:pt>
                <c:pt idx="1">
                  <c:v>1.71</c:v>
                </c:pt>
                <c:pt idx="2">
                  <c:v>1.71</c:v>
                </c:pt>
                <c:pt idx="3">
                  <c:v>1.71</c:v>
                </c:pt>
                <c:pt idx="4">
                  <c:v>1.71</c:v>
                </c:pt>
                <c:pt idx="5">
                  <c:v>1.71</c:v>
                </c:pt>
                <c:pt idx="6">
                  <c:v>1.71</c:v>
                </c:pt>
                <c:pt idx="7">
                  <c:v>1.71</c:v>
                </c:pt>
                <c:pt idx="8">
                  <c:v>1.71</c:v>
                </c:pt>
                <c:pt idx="9">
                  <c:v>1.71</c:v>
                </c:pt>
                <c:pt idx="10">
                  <c:v>1.71</c:v>
                </c:pt>
                <c:pt idx="11">
                  <c:v>1.71</c:v>
                </c:pt>
                <c:pt idx="12">
                  <c:v>#N/A</c:v>
                </c:pt>
                <c:pt idx="13">
                  <c:v>#N/A</c:v>
                </c:pt>
                <c:pt idx="14">
                  <c:v>#N/A</c:v>
                </c:pt>
              </c:numCache>
            </c:numRef>
          </c:val>
          <c:extLst>
            <c:ext xmlns:c16="http://schemas.microsoft.com/office/drawing/2014/chart" uri="{C3380CC4-5D6E-409C-BE32-E72D297353CC}">
              <c16:uniqueId val="{00000001-9FC0-4433-93F6-B9616510BF35}"/>
            </c:ext>
          </c:extLst>
        </c:ser>
        <c:ser>
          <c:idx val="2"/>
          <c:order val="2"/>
          <c:tx>
            <c:strRef>
              <c:f>Graficos!$A$191</c:f>
              <c:strCache>
                <c:ptCount val="1"/>
                <c:pt idx="0">
                  <c:v>Boa</c:v>
                </c:pt>
              </c:strCache>
            </c:strRef>
          </c:tx>
          <c:spPr>
            <a:solidFill>
              <a:srgbClr val="FFA766"/>
            </a:solidFill>
            <a:ln cmpd="sng">
              <a:solidFill>
                <a:srgbClr val="FFA766">
                  <a:alpha val="100000"/>
                </a:srgbClr>
              </a:solidFill>
            </a:ln>
          </c:spPr>
          <c:cat>
            <c:strRef>
              <c:f>Graficos!$B$188:$P$188</c:f>
              <c:strCache>
                <c:ptCount val="5"/>
                <c:pt idx="0">
                  <c:v>Av1</c:v>
                </c:pt>
                <c:pt idx="1">
                  <c:v>Av2</c:v>
                </c:pt>
                <c:pt idx="2">
                  <c:v>Av3</c:v>
                </c:pt>
                <c:pt idx="3">
                  <c:v>Av4</c:v>
                </c:pt>
                <c:pt idx="4">
                  <c:v>Av5</c:v>
                </c:pt>
              </c:strCache>
            </c:strRef>
          </c:cat>
          <c:val>
            <c:numRef>
              <c:f>Graficos!$B$191:$P$191</c:f>
              <c:numCache>
                <c:formatCode>0.00</c:formatCode>
                <c:ptCount val="15"/>
                <c:pt idx="0">
                  <c:v>1.69</c:v>
                </c:pt>
                <c:pt idx="1">
                  <c:v>1.59</c:v>
                </c:pt>
                <c:pt idx="2">
                  <c:v>1.59</c:v>
                </c:pt>
                <c:pt idx="3">
                  <c:v>1.59</c:v>
                </c:pt>
                <c:pt idx="4">
                  <c:v>1.59</c:v>
                </c:pt>
                <c:pt idx="5">
                  <c:v>1.59</c:v>
                </c:pt>
                <c:pt idx="6">
                  <c:v>1.59</c:v>
                </c:pt>
                <c:pt idx="7">
                  <c:v>1.59</c:v>
                </c:pt>
                <c:pt idx="8">
                  <c:v>1.59</c:v>
                </c:pt>
                <c:pt idx="9">
                  <c:v>1.59</c:v>
                </c:pt>
                <c:pt idx="10">
                  <c:v>1.59</c:v>
                </c:pt>
                <c:pt idx="11">
                  <c:v>1.59</c:v>
                </c:pt>
                <c:pt idx="12">
                  <c:v>#N/A</c:v>
                </c:pt>
                <c:pt idx="13">
                  <c:v>#N/A</c:v>
                </c:pt>
                <c:pt idx="14">
                  <c:v>#N/A</c:v>
                </c:pt>
              </c:numCache>
            </c:numRef>
          </c:val>
          <c:extLst>
            <c:ext xmlns:c16="http://schemas.microsoft.com/office/drawing/2014/chart" uri="{C3380CC4-5D6E-409C-BE32-E72D297353CC}">
              <c16:uniqueId val="{00000002-9FC0-4433-93F6-B9616510BF35}"/>
            </c:ext>
          </c:extLst>
        </c:ser>
        <c:ser>
          <c:idx val="3"/>
          <c:order val="3"/>
          <c:tx>
            <c:strRef>
              <c:f>Graficos!$A$192</c:f>
              <c:strCache>
                <c:ptCount val="1"/>
                <c:pt idx="0">
                  <c:v>Média</c:v>
                </c:pt>
              </c:strCache>
            </c:strRef>
          </c:tx>
          <c:spPr>
            <a:solidFill>
              <a:srgbClr val="FF4F4F"/>
            </a:solidFill>
            <a:ln cmpd="sng">
              <a:solidFill>
                <a:srgbClr val="FF4F4F">
                  <a:alpha val="100000"/>
                </a:srgbClr>
              </a:solidFill>
            </a:ln>
          </c:spPr>
          <c:cat>
            <c:strRef>
              <c:f>Graficos!$B$188:$P$188</c:f>
              <c:strCache>
                <c:ptCount val="5"/>
                <c:pt idx="0">
                  <c:v>Av1</c:v>
                </c:pt>
                <c:pt idx="1">
                  <c:v>Av2</c:v>
                </c:pt>
                <c:pt idx="2">
                  <c:v>Av3</c:v>
                </c:pt>
                <c:pt idx="3">
                  <c:v>Av4</c:v>
                </c:pt>
                <c:pt idx="4">
                  <c:v>Av5</c:v>
                </c:pt>
              </c:strCache>
            </c:strRef>
          </c:cat>
          <c:val>
            <c:numRef>
              <c:f>Graficos!$B$192:$P$192</c:f>
              <c:numCache>
                <c:formatCode>0.00</c:formatCode>
                <c:ptCount val="15"/>
                <c:pt idx="0">
                  <c:v>1.58</c:v>
                </c:pt>
                <c:pt idx="1">
                  <c:v>1.47</c:v>
                </c:pt>
                <c:pt idx="2">
                  <c:v>1.47</c:v>
                </c:pt>
                <c:pt idx="3">
                  <c:v>1.47</c:v>
                </c:pt>
                <c:pt idx="4">
                  <c:v>1.47</c:v>
                </c:pt>
                <c:pt idx="5">
                  <c:v>1.47</c:v>
                </c:pt>
                <c:pt idx="6">
                  <c:v>1.47</c:v>
                </c:pt>
                <c:pt idx="7">
                  <c:v>1.47</c:v>
                </c:pt>
                <c:pt idx="8">
                  <c:v>1.47</c:v>
                </c:pt>
                <c:pt idx="9">
                  <c:v>1.47</c:v>
                </c:pt>
                <c:pt idx="10">
                  <c:v>1.47</c:v>
                </c:pt>
                <c:pt idx="11">
                  <c:v>1.47</c:v>
                </c:pt>
                <c:pt idx="12">
                  <c:v>#N/A</c:v>
                </c:pt>
                <c:pt idx="13">
                  <c:v>#N/A</c:v>
                </c:pt>
                <c:pt idx="14">
                  <c:v>#N/A</c:v>
                </c:pt>
              </c:numCache>
            </c:numRef>
          </c:val>
          <c:extLst>
            <c:ext xmlns:c16="http://schemas.microsoft.com/office/drawing/2014/chart" uri="{C3380CC4-5D6E-409C-BE32-E72D297353CC}">
              <c16:uniqueId val="{00000003-9FC0-4433-93F6-B9616510BF35}"/>
            </c:ext>
          </c:extLst>
        </c:ser>
        <c:ser>
          <c:idx val="4"/>
          <c:order val="4"/>
          <c:tx>
            <c:strRef>
              <c:f>Graficos!$A$193</c:f>
              <c:strCache>
                <c:ptCount val="1"/>
                <c:pt idx="0">
                  <c:v>Fraca</c:v>
                </c:pt>
              </c:strCache>
            </c:strRef>
          </c:tx>
          <c:spPr>
            <a:solidFill>
              <a:srgbClr val="D9D2E9"/>
            </a:solidFill>
            <a:ln cmpd="sng">
              <a:solidFill>
                <a:srgbClr val="D9D2E9">
                  <a:alpha val="100000"/>
                </a:srgbClr>
              </a:solidFill>
            </a:ln>
          </c:spPr>
          <c:cat>
            <c:strRef>
              <c:f>Graficos!$B$188:$P$188</c:f>
              <c:strCache>
                <c:ptCount val="5"/>
                <c:pt idx="0">
                  <c:v>Av1</c:v>
                </c:pt>
                <c:pt idx="1">
                  <c:v>Av2</c:v>
                </c:pt>
                <c:pt idx="2">
                  <c:v>Av3</c:v>
                </c:pt>
                <c:pt idx="3">
                  <c:v>Av4</c:v>
                </c:pt>
                <c:pt idx="4">
                  <c:v>Av5</c:v>
                </c:pt>
              </c:strCache>
            </c:strRef>
          </c:cat>
          <c:val>
            <c:numRef>
              <c:f>Graficos!$B$193:$P$193</c:f>
              <c:numCache>
                <c:formatCode>0.00</c:formatCode>
                <c:ptCount val="15"/>
                <c:pt idx="0">
                  <c:v>1.45</c:v>
                </c:pt>
                <c:pt idx="1">
                  <c:v>1.33</c:v>
                </c:pt>
                <c:pt idx="2">
                  <c:v>1.33</c:v>
                </c:pt>
                <c:pt idx="3">
                  <c:v>1.33</c:v>
                </c:pt>
                <c:pt idx="4">
                  <c:v>1.33</c:v>
                </c:pt>
                <c:pt idx="5">
                  <c:v>1.33</c:v>
                </c:pt>
                <c:pt idx="6">
                  <c:v>1.33</c:v>
                </c:pt>
                <c:pt idx="7">
                  <c:v>1.33</c:v>
                </c:pt>
                <c:pt idx="8">
                  <c:v>1.33</c:v>
                </c:pt>
                <c:pt idx="9">
                  <c:v>1.33</c:v>
                </c:pt>
                <c:pt idx="10">
                  <c:v>1.33</c:v>
                </c:pt>
                <c:pt idx="11">
                  <c:v>1.33</c:v>
                </c:pt>
                <c:pt idx="12">
                  <c:v>#N/A</c:v>
                </c:pt>
                <c:pt idx="13">
                  <c:v>#N/A</c:v>
                </c:pt>
                <c:pt idx="14">
                  <c:v>#N/A</c:v>
                </c:pt>
              </c:numCache>
            </c:numRef>
          </c:val>
          <c:extLst>
            <c:ext xmlns:c16="http://schemas.microsoft.com/office/drawing/2014/chart" uri="{C3380CC4-5D6E-409C-BE32-E72D297353CC}">
              <c16:uniqueId val="{00000004-9FC0-4433-93F6-B9616510BF35}"/>
            </c:ext>
          </c:extLst>
        </c:ser>
        <c:dLbls>
          <c:showLegendKey val="0"/>
          <c:showVal val="0"/>
          <c:showCatName val="0"/>
          <c:showSerName val="0"/>
          <c:showPercent val="0"/>
          <c:showBubbleSize val="0"/>
        </c:dLbls>
        <c:axId val="466880826"/>
        <c:axId val="1439746518"/>
      </c:areaChart>
      <c:lineChart>
        <c:grouping val="standard"/>
        <c:varyColors val="0"/>
        <c:ser>
          <c:idx val="5"/>
          <c:order val="5"/>
          <c:tx>
            <c:strRef>
              <c:f>Graficos!$A$194</c:f>
              <c:strCache>
                <c:ptCount val="1"/>
                <c:pt idx="0">
                  <c:v>Leg Press relativo</c:v>
                </c:pt>
              </c:strCache>
            </c:strRef>
          </c:tx>
          <c:spPr>
            <a:ln cmpd="sng">
              <a:solidFill>
                <a:schemeClr val="dk1"/>
              </a:solidFill>
            </a:ln>
          </c:spPr>
          <c:marker>
            <c:symbol val="none"/>
          </c:marker>
          <c:cat>
            <c:strRef>
              <c:f>Graficos!$B$188:$P$188</c:f>
              <c:strCache>
                <c:ptCount val="5"/>
                <c:pt idx="0">
                  <c:v>Av1</c:v>
                </c:pt>
                <c:pt idx="1">
                  <c:v>Av2</c:v>
                </c:pt>
                <c:pt idx="2">
                  <c:v>Av3</c:v>
                </c:pt>
                <c:pt idx="3">
                  <c:v>Av4</c:v>
                </c:pt>
                <c:pt idx="4">
                  <c:v>Av5</c:v>
                </c:pt>
              </c:strCache>
            </c:strRef>
          </c:cat>
          <c:val>
            <c:numRef>
              <c:f>Graficos!$B$194:$P$194</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5-9FC0-4433-93F6-B9616510BF35}"/>
            </c:ext>
          </c:extLst>
        </c:ser>
        <c:dLbls>
          <c:showLegendKey val="0"/>
          <c:showVal val="0"/>
          <c:showCatName val="0"/>
          <c:showSerName val="0"/>
          <c:showPercent val="0"/>
          <c:showBubbleSize val="0"/>
        </c:dLbls>
        <c:marker val="1"/>
        <c:smooth val="0"/>
        <c:axId val="466880826"/>
        <c:axId val="1439746518"/>
      </c:lineChart>
      <c:catAx>
        <c:axId val="4668808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439746518"/>
        <c:crosses val="autoZero"/>
        <c:auto val="1"/>
        <c:lblAlgn val="ctr"/>
        <c:lblOffset val="100"/>
        <c:noMultiLvlLbl val="1"/>
      </c:catAx>
      <c:valAx>
        <c:axId val="14397465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466880826"/>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areaChart>
        <c:grouping val="standard"/>
        <c:varyColors val="1"/>
        <c:ser>
          <c:idx val="0"/>
          <c:order val="0"/>
          <c:tx>
            <c:strRef>
              <c:f>Graficos!$A$222</c:f>
              <c:strCache>
                <c:ptCount val="1"/>
                <c:pt idx="0">
                  <c:v>Superior</c:v>
                </c:pt>
              </c:strCache>
            </c:strRef>
          </c:tx>
          <c:spPr>
            <a:solidFill>
              <a:srgbClr val="BBEFBB"/>
            </a:solidFill>
            <a:ln cmpd="sng">
              <a:solidFill>
                <a:srgbClr val="BBEFBB">
                  <a:alpha val="100000"/>
                </a:srgbClr>
              </a:solidFill>
            </a:ln>
          </c:spPr>
          <c:cat>
            <c:strRef>
              <c:f>Graficos!$B$221:$P$221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Graficos!$B$222:$P$222</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A7F5-451B-B005-8077806EEE79}"/>
            </c:ext>
          </c:extLst>
        </c:ser>
        <c:ser>
          <c:idx val="1"/>
          <c:order val="1"/>
          <c:tx>
            <c:strRef>
              <c:f>Graficos!$A$223</c:f>
              <c:strCache>
                <c:ptCount val="1"/>
                <c:pt idx="0">
                  <c:v>Excelente</c:v>
                </c:pt>
              </c:strCache>
            </c:strRef>
          </c:tx>
          <c:spPr>
            <a:solidFill>
              <a:srgbClr val="FFE28E"/>
            </a:solidFill>
            <a:ln cmpd="sng">
              <a:solidFill>
                <a:srgbClr val="FFE28E">
                  <a:alpha val="100000"/>
                </a:srgbClr>
              </a:solidFill>
            </a:ln>
          </c:spPr>
          <c:cat>
            <c:strRef>
              <c:f>Graficos!$B$221:$P$221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Graficos!$B$223:$P$223</c:f>
              <c:numCache>
                <c:formatCode>0.00</c:formatCode>
                <c:ptCount val="15"/>
                <c:pt idx="0">
                  <c:v>42.52</c:v>
                </c:pt>
                <c:pt idx="1">
                  <c:v>42.52</c:v>
                </c:pt>
                <c:pt idx="2">
                  <c:v>42.52</c:v>
                </c:pt>
                <c:pt idx="3">
                  <c:v>42.52</c:v>
                </c:pt>
                <c:pt idx="4">
                  <c:v>42.52</c:v>
                </c:pt>
                <c:pt idx="5">
                  <c:v>42.52</c:v>
                </c:pt>
                <c:pt idx="6">
                  <c:v>42.52</c:v>
                </c:pt>
                <c:pt idx="7">
                  <c:v>42.52</c:v>
                </c:pt>
                <c:pt idx="8">
                  <c:v>42.52</c:v>
                </c:pt>
                <c:pt idx="9">
                  <c:v>42.52</c:v>
                </c:pt>
                <c:pt idx="10">
                  <c:v>42.52</c:v>
                </c:pt>
                <c:pt idx="11">
                  <c:v>42.52</c:v>
                </c:pt>
                <c:pt idx="12">
                  <c:v>#N/A</c:v>
                </c:pt>
                <c:pt idx="13">
                  <c:v>#N/A</c:v>
                </c:pt>
                <c:pt idx="14">
                  <c:v>#N/A</c:v>
                </c:pt>
              </c:numCache>
            </c:numRef>
          </c:val>
          <c:extLst>
            <c:ext xmlns:c16="http://schemas.microsoft.com/office/drawing/2014/chart" uri="{C3380CC4-5D6E-409C-BE32-E72D297353CC}">
              <c16:uniqueId val="{00000001-A7F5-451B-B005-8077806EEE79}"/>
            </c:ext>
          </c:extLst>
        </c:ser>
        <c:ser>
          <c:idx val="2"/>
          <c:order val="2"/>
          <c:tx>
            <c:strRef>
              <c:f>Graficos!$A$224</c:f>
              <c:strCache>
                <c:ptCount val="1"/>
                <c:pt idx="0">
                  <c:v>Boa</c:v>
                </c:pt>
              </c:strCache>
            </c:strRef>
          </c:tx>
          <c:spPr>
            <a:solidFill>
              <a:srgbClr val="FFA766"/>
            </a:solidFill>
            <a:ln cmpd="sng">
              <a:solidFill>
                <a:srgbClr val="FFA766">
                  <a:alpha val="100000"/>
                </a:srgbClr>
              </a:solidFill>
            </a:ln>
          </c:spPr>
          <c:cat>
            <c:strRef>
              <c:f>Graficos!$B$221:$P$221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Graficos!$B$224:$P$224</c:f>
              <c:numCache>
                <c:formatCode>0.00</c:formatCode>
                <c:ptCount val="15"/>
                <c:pt idx="0">
                  <c:v>38.479999999999997</c:v>
                </c:pt>
                <c:pt idx="1">
                  <c:v>38.479999999999997</c:v>
                </c:pt>
                <c:pt idx="2">
                  <c:v>38.479999999999997</c:v>
                </c:pt>
                <c:pt idx="3">
                  <c:v>38.479999999999997</c:v>
                </c:pt>
                <c:pt idx="4">
                  <c:v>38.479999999999997</c:v>
                </c:pt>
                <c:pt idx="5">
                  <c:v>38.479999999999997</c:v>
                </c:pt>
                <c:pt idx="6">
                  <c:v>38.479999999999997</c:v>
                </c:pt>
                <c:pt idx="7">
                  <c:v>38.479999999999997</c:v>
                </c:pt>
                <c:pt idx="8">
                  <c:v>38.479999999999997</c:v>
                </c:pt>
                <c:pt idx="9">
                  <c:v>38.479999999999997</c:v>
                </c:pt>
                <c:pt idx="10">
                  <c:v>38.479999999999997</c:v>
                </c:pt>
                <c:pt idx="11">
                  <c:v>38.479999999999997</c:v>
                </c:pt>
                <c:pt idx="12">
                  <c:v>#N/A</c:v>
                </c:pt>
                <c:pt idx="13">
                  <c:v>#N/A</c:v>
                </c:pt>
                <c:pt idx="14">
                  <c:v>#N/A</c:v>
                </c:pt>
              </c:numCache>
            </c:numRef>
          </c:val>
          <c:extLst>
            <c:ext xmlns:c16="http://schemas.microsoft.com/office/drawing/2014/chart" uri="{C3380CC4-5D6E-409C-BE32-E72D297353CC}">
              <c16:uniqueId val="{00000002-A7F5-451B-B005-8077806EEE79}"/>
            </c:ext>
          </c:extLst>
        </c:ser>
        <c:ser>
          <c:idx val="3"/>
          <c:order val="3"/>
          <c:tx>
            <c:strRef>
              <c:f>Graficos!$A$225</c:f>
              <c:strCache>
                <c:ptCount val="1"/>
                <c:pt idx="0">
                  <c:v>Média</c:v>
                </c:pt>
              </c:strCache>
            </c:strRef>
          </c:tx>
          <c:spPr>
            <a:solidFill>
              <a:srgbClr val="FF4F4F"/>
            </a:solidFill>
            <a:ln cmpd="sng">
              <a:solidFill>
                <a:srgbClr val="FF4F4F">
                  <a:alpha val="100000"/>
                </a:srgbClr>
              </a:solidFill>
            </a:ln>
          </c:spPr>
          <c:cat>
            <c:strRef>
              <c:f>Graficos!$B$221:$P$221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Graficos!$B$225:$P$225</c:f>
              <c:numCache>
                <c:formatCode>0.00</c:formatCode>
                <c:ptCount val="15"/>
                <c:pt idx="0">
                  <c:v>32.409999999999997</c:v>
                </c:pt>
                <c:pt idx="1">
                  <c:v>32.409999999999997</c:v>
                </c:pt>
                <c:pt idx="2">
                  <c:v>32.409999999999997</c:v>
                </c:pt>
                <c:pt idx="3">
                  <c:v>32.409999999999997</c:v>
                </c:pt>
                <c:pt idx="4">
                  <c:v>32.409999999999997</c:v>
                </c:pt>
                <c:pt idx="5">
                  <c:v>32.409999999999997</c:v>
                </c:pt>
                <c:pt idx="6">
                  <c:v>32.409999999999997</c:v>
                </c:pt>
                <c:pt idx="7">
                  <c:v>32.409999999999997</c:v>
                </c:pt>
                <c:pt idx="8">
                  <c:v>32.409999999999997</c:v>
                </c:pt>
                <c:pt idx="9">
                  <c:v>32.409999999999997</c:v>
                </c:pt>
                <c:pt idx="10">
                  <c:v>32.409999999999997</c:v>
                </c:pt>
                <c:pt idx="11">
                  <c:v>32.409999999999997</c:v>
                </c:pt>
                <c:pt idx="12">
                  <c:v>#N/A</c:v>
                </c:pt>
                <c:pt idx="13">
                  <c:v>#N/A</c:v>
                </c:pt>
                <c:pt idx="14">
                  <c:v>#N/A</c:v>
                </c:pt>
              </c:numCache>
            </c:numRef>
          </c:val>
          <c:extLst>
            <c:ext xmlns:c16="http://schemas.microsoft.com/office/drawing/2014/chart" uri="{C3380CC4-5D6E-409C-BE32-E72D297353CC}">
              <c16:uniqueId val="{00000003-A7F5-451B-B005-8077806EEE79}"/>
            </c:ext>
          </c:extLst>
        </c:ser>
        <c:ser>
          <c:idx val="4"/>
          <c:order val="4"/>
          <c:tx>
            <c:strRef>
              <c:f>Graficos!$A$226</c:f>
              <c:strCache>
                <c:ptCount val="1"/>
                <c:pt idx="0">
                  <c:v>Fraca</c:v>
                </c:pt>
              </c:strCache>
            </c:strRef>
          </c:tx>
          <c:spPr>
            <a:solidFill>
              <a:srgbClr val="D9D2E9"/>
            </a:solidFill>
            <a:ln cmpd="sng">
              <a:solidFill>
                <a:srgbClr val="D9D2E9">
                  <a:alpha val="100000"/>
                </a:srgbClr>
              </a:solidFill>
            </a:ln>
          </c:spPr>
          <c:cat>
            <c:strRef>
              <c:f>Graficos!$B$221:$P$221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Graficos!$B$226:$P$226</c:f>
              <c:numCache>
                <c:formatCode>0.00</c:formatCode>
                <c:ptCount val="15"/>
                <c:pt idx="0">
                  <c:v>20.25</c:v>
                </c:pt>
                <c:pt idx="1">
                  <c:v>20.25</c:v>
                </c:pt>
                <c:pt idx="2">
                  <c:v>20.25</c:v>
                </c:pt>
                <c:pt idx="3">
                  <c:v>20.25</c:v>
                </c:pt>
                <c:pt idx="4">
                  <c:v>20.25</c:v>
                </c:pt>
                <c:pt idx="5">
                  <c:v>20.25</c:v>
                </c:pt>
                <c:pt idx="6">
                  <c:v>20.25</c:v>
                </c:pt>
                <c:pt idx="7">
                  <c:v>20.25</c:v>
                </c:pt>
                <c:pt idx="8">
                  <c:v>20.25</c:v>
                </c:pt>
                <c:pt idx="9">
                  <c:v>20.25</c:v>
                </c:pt>
                <c:pt idx="10">
                  <c:v>20.25</c:v>
                </c:pt>
                <c:pt idx="11">
                  <c:v>20.25</c:v>
                </c:pt>
                <c:pt idx="12">
                  <c:v>#N/A</c:v>
                </c:pt>
                <c:pt idx="13">
                  <c:v>#N/A</c:v>
                </c:pt>
                <c:pt idx="14">
                  <c:v>#N/A</c:v>
                </c:pt>
              </c:numCache>
            </c:numRef>
          </c:val>
          <c:extLst>
            <c:ext xmlns:c16="http://schemas.microsoft.com/office/drawing/2014/chart" uri="{C3380CC4-5D6E-409C-BE32-E72D297353CC}">
              <c16:uniqueId val="{00000004-A7F5-451B-B005-8077806EEE79}"/>
            </c:ext>
          </c:extLst>
        </c:ser>
        <c:dLbls>
          <c:showLegendKey val="0"/>
          <c:showVal val="0"/>
          <c:showCatName val="0"/>
          <c:showSerName val="0"/>
          <c:showPercent val="0"/>
          <c:showBubbleSize val="0"/>
        </c:dLbls>
        <c:axId val="445378664"/>
        <c:axId val="1940774058"/>
      </c:areaChart>
      <c:lineChart>
        <c:grouping val="standard"/>
        <c:varyColors val="0"/>
        <c:ser>
          <c:idx val="5"/>
          <c:order val="5"/>
          <c:tx>
            <c:strRef>
              <c:f>Graficos!$A$227</c:f>
              <c:strCache>
                <c:ptCount val="1"/>
                <c:pt idx="0">
                  <c:v>Vo2Max</c:v>
                </c:pt>
              </c:strCache>
            </c:strRef>
          </c:tx>
          <c:spPr>
            <a:ln cmpd="sng">
              <a:solidFill>
                <a:srgbClr val="000000">
                  <a:alpha val="100000"/>
                </a:srgbClr>
              </a:solidFill>
            </a:ln>
          </c:spPr>
          <c:marker>
            <c:symbol val="none"/>
          </c:marker>
          <c:cat>
            <c:strRef>
              <c:f>Graficos!$B$221:$P$221</c:f>
              <c:strCache>
                <c:ptCount val="15"/>
                <c:pt idx="0">
                  <c:v>Av1</c:v>
                </c:pt>
                <c:pt idx="1">
                  <c:v>Av2</c:v>
                </c:pt>
                <c:pt idx="2">
                  <c:v>Av3</c:v>
                </c:pt>
                <c:pt idx="3">
                  <c:v>Av4</c:v>
                </c:pt>
                <c:pt idx="4">
                  <c:v>Av5</c:v>
                </c:pt>
                <c:pt idx="5">
                  <c:v>Av6</c:v>
                </c:pt>
                <c:pt idx="6">
                  <c:v>Av7</c:v>
                </c:pt>
                <c:pt idx="7">
                  <c:v>Av8</c:v>
                </c:pt>
                <c:pt idx="8">
                  <c:v>Av9</c:v>
                </c:pt>
                <c:pt idx="9">
                  <c:v>Av10</c:v>
                </c:pt>
                <c:pt idx="10">
                  <c:v>Av11</c:v>
                </c:pt>
                <c:pt idx="11">
                  <c:v>Av12</c:v>
                </c:pt>
                <c:pt idx="12">
                  <c:v>Av13</c:v>
                </c:pt>
                <c:pt idx="13">
                  <c:v>Av14</c:v>
                </c:pt>
                <c:pt idx="14">
                  <c:v>Av15</c:v>
                </c:pt>
              </c:strCache>
            </c:strRef>
          </c:cat>
          <c:val>
            <c:numRef>
              <c:f>Graficos!$B$227:$P$227</c:f>
              <c:numCache>
                <c:formatCode>0.00</c:formatCode>
                <c:ptCount val="15"/>
                <c:pt idx="0">
                  <c:v>42.3</c:v>
                </c:pt>
                <c:pt idx="1">
                  <c:v>51.4</c:v>
                </c:pt>
                <c:pt idx="2">
                  <c:v>57.4</c:v>
                </c:pt>
                <c:pt idx="3">
                  <c:v>56.6</c:v>
                </c:pt>
                <c:pt idx="4">
                  <c:v>57.4</c:v>
                </c:pt>
                <c:pt idx="5">
                  <c:v>60.46</c:v>
                </c:pt>
                <c:pt idx="6">
                  <c:v>60.46</c:v>
                </c:pt>
                <c:pt idx="7">
                  <c:v>57.44</c:v>
                </c:pt>
                <c:pt idx="8">
                  <c:v>0</c:v>
                </c:pt>
                <c:pt idx="9">
                  <c:v>60.46</c:v>
                </c:pt>
                <c:pt idx="10">
                  <c:v>60.46</c:v>
                </c:pt>
                <c:pt idx="11">
                  <c:v>60.46</c:v>
                </c:pt>
                <c:pt idx="12">
                  <c:v>60.46</c:v>
                </c:pt>
                <c:pt idx="13">
                  <c:v>60.46</c:v>
                </c:pt>
                <c:pt idx="14">
                  <c:v>60.46</c:v>
                </c:pt>
              </c:numCache>
            </c:numRef>
          </c:val>
          <c:smooth val="0"/>
          <c:extLst>
            <c:ext xmlns:c16="http://schemas.microsoft.com/office/drawing/2014/chart" uri="{C3380CC4-5D6E-409C-BE32-E72D297353CC}">
              <c16:uniqueId val="{00000005-A7F5-451B-B005-8077806EEE79}"/>
            </c:ext>
          </c:extLst>
        </c:ser>
        <c:dLbls>
          <c:showLegendKey val="0"/>
          <c:showVal val="0"/>
          <c:showCatName val="0"/>
          <c:showSerName val="0"/>
          <c:showPercent val="0"/>
          <c:showBubbleSize val="0"/>
        </c:dLbls>
        <c:marker val="1"/>
        <c:smooth val="0"/>
        <c:axId val="445378664"/>
        <c:axId val="1940774058"/>
      </c:lineChart>
      <c:catAx>
        <c:axId val="44537866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940774058"/>
        <c:crosses val="autoZero"/>
        <c:auto val="1"/>
        <c:lblAlgn val="ctr"/>
        <c:lblOffset val="100"/>
        <c:noMultiLvlLbl val="1"/>
      </c:catAx>
      <c:valAx>
        <c:axId val="19407740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445378664"/>
        <c:crosses val="autoZero"/>
        <c:crossBetween val="between"/>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1"/>
        <c:ser>
          <c:idx val="0"/>
          <c:order val="0"/>
          <c:tx>
            <c:strRef>
              <c:f>Graficos!$B$255</c:f>
              <c:strCache>
                <c:ptCount val="1"/>
                <c:pt idx="0">
                  <c:v>Av4</c:v>
                </c:pt>
              </c:strCache>
            </c:strRef>
          </c:tx>
          <c:spPr>
            <a:ln cmpd="sng">
              <a:solidFill>
                <a:srgbClr val="4285F4"/>
              </a:solidFill>
            </a:ln>
          </c:spPr>
          <c:marker>
            <c:symbol val="none"/>
          </c:marker>
          <c:cat>
            <c:numRef>
              <c:f>Graficos!$A$256:$A$273</c:f>
              <c:numCache>
                <c:formatCode>General</c:formatCode>
                <c:ptCount val="18"/>
                <c:pt idx="0">
                  <c:v>0</c:v>
                </c:pt>
                <c:pt idx="1">
                  <c:v>6</c:v>
                </c:pt>
                <c:pt idx="2">
                  <c:v>7</c:v>
                </c:pt>
                <c:pt idx="3">
                  <c:v>8</c:v>
                </c:pt>
                <c:pt idx="4">
                  <c:v>9</c:v>
                </c:pt>
                <c:pt idx="5">
                  <c:v>10</c:v>
                </c:pt>
                <c:pt idx="6">
                  <c:v>11</c:v>
                </c:pt>
                <c:pt idx="7">
                  <c:v>12</c:v>
                </c:pt>
                <c:pt idx="8">
                  <c:v>13</c:v>
                </c:pt>
                <c:pt idx="9">
                  <c:v>14</c:v>
                </c:pt>
                <c:pt idx="10">
                  <c:v>15</c:v>
                </c:pt>
              </c:numCache>
            </c:numRef>
          </c:cat>
          <c:val>
            <c:numRef>
              <c:f>Graficos!$B$256:$B$273</c:f>
              <c:numCache>
                <c:formatCode>General</c:formatCode>
                <c:ptCount val="18"/>
                <c:pt idx="0">
                  <c:v>45</c:v>
                </c:pt>
                <c:pt idx="1">
                  <c:v>0</c:v>
                </c:pt>
                <c:pt idx="2">
                  <c:v>0</c:v>
                </c:pt>
                <c:pt idx="3">
                  <c:v>0</c:v>
                </c:pt>
                <c:pt idx="4">
                  <c:v>0</c:v>
                </c:pt>
                <c:pt idx="5">
                  <c:v>0</c:v>
                </c:pt>
                <c:pt idx="6">
                  <c:v>115</c:v>
                </c:pt>
                <c:pt idx="7">
                  <c:v>123</c:v>
                </c:pt>
                <c:pt idx="8">
                  <c:v>129</c:v>
                </c:pt>
                <c:pt idx="9">
                  <c:v>139</c:v>
                </c:pt>
                <c:pt idx="10">
                  <c:v>143</c:v>
                </c:pt>
                <c:pt idx="11">
                  <c:v>148</c:v>
                </c:pt>
                <c:pt idx="12">
                  <c:v>151</c:v>
                </c:pt>
                <c:pt idx="13">
                  <c:v>155</c:v>
                </c:pt>
                <c:pt idx="14">
                  <c:v>0</c:v>
                </c:pt>
                <c:pt idx="15">
                  <c:v>0</c:v>
                </c:pt>
                <c:pt idx="16">
                  <c:v>0</c:v>
                </c:pt>
                <c:pt idx="17">
                  <c:v>0</c:v>
                </c:pt>
              </c:numCache>
            </c:numRef>
          </c:val>
          <c:smooth val="0"/>
          <c:extLst>
            <c:ext xmlns:c16="http://schemas.microsoft.com/office/drawing/2014/chart" uri="{C3380CC4-5D6E-409C-BE32-E72D297353CC}">
              <c16:uniqueId val="{00000000-A4FA-4107-B7D7-396817A43667}"/>
            </c:ext>
          </c:extLst>
        </c:ser>
        <c:ser>
          <c:idx val="1"/>
          <c:order val="1"/>
          <c:tx>
            <c:strRef>
              <c:f>Graficos!$C$255</c:f>
              <c:strCache>
                <c:ptCount val="1"/>
                <c:pt idx="0">
                  <c:v>0</c:v>
                </c:pt>
              </c:strCache>
            </c:strRef>
          </c:tx>
          <c:spPr>
            <a:ln cmpd="sng">
              <a:solidFill>
                <a:srgbClr val="EA4335"/>
              </a:solidFill>
            </a:ln>
          </c:spPr>
          <c:marker>
            <c:symbol val="none"/>
          </c:marker>
          <c:cat>
            <c:numRef>
              <c:f>Graficos!$A$256:$A$273</c:f>
              <c:numCache>
                <c:formatCode>General</c:formatCode>
                <c:ptCount val="18"/>
                <c:pt idx="0">
                  <c:v>0</c:v>
                </c:pt>
                <c:pt idx="1">
                  <c:v>6</c:v>
                </c:pt>
                <c:pt idx="2">
                  <c:v>7</c:v>
                </c:pt>
                <c:pt idx="3">
                  <c:v>8</c:v>
                </c:pt>
                <c:pt idx="4">
                  <c:v>9</c:v>
                </c:pt>
                <c:pt idx="5">
                  <c:v>10</c:v>
                </c:pt>
                <c:pt idx="6">
                  <c:v>11</c:v>
                </c:pt>
                <c:pt idx="7">
                  <c:v>12</c:v>
                </c:pt>
                <c:pt idx="8">
                  <c:v>13</c:v>
                </c:pt>
                <c:pt idx="9">
                  <c:v>14</c:v>
                </c:pt>
                <c:pt idx="10">
                  <c:v>15</c:v>
                </c:pt>
              </c:numCache>
            </c:numRef>
          </c:cat>
          <c:val>
            <c:numRef>
              <c:f>Graficos!$C$256:$C$273</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1-A4FA-4107-B7D7-396817A43667}"/>
            </c:ext>
          </c:extLst>
        </c:ser>
        <c:dLbls>
          <c:showLegendKey val="0"/>
          <c:showVal val="0"/>
          <c:showCatName val="0"/>
          <c:showSerName val="0"/>
          <c:showPercent val="0"/>
          <c:showBubbleSize val="0"/>
        </c:dLbls>
        <c:smooth val="0"/>
        <c:axId val="1425557550"/>
        <c:axId val="899556391"/>
      </c:lineChart>
      <c:catAx>
        <c:axId val="1425557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Estagio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899556391"/>
        <c:crosses val="autoZero"/>
        <c:auto val="1"/>
        <c:lblAlgn val="ctr"/>
        <c:lblOffset val="100"/>
        <c:noMultiLvlLbl val="1"/>
      </c:catAx>
      <c:valAx>
        <c:axId val="8995563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Frequência Cardíaca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425557550"/>
        <c:crosses val="autoZero"/>
        <c:crossBetween val="between"/>
        <c:majorUnit val="20"/>
        <c:minorUnit val="10"/>
      </c:valAx>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radarChart>
        <c:radarStyle val="marker"/>
        <c:varyColors val="1"/>
        <c:ser>
          <c:idx val="0"/>
          <c:order val="0"/>
          <c:tx>
            <c:strRef>
              <c:f>Graficos!$B$297</c:f>
              <c:strCache>
                <c:ptCount val="1"/>
              </c:strCache>
            </c:strRef>
          </c:tx>
          <c:spPr>
            <a:ln cmpd="sng">
              <a:solidFill>
                <a:srgbClr val="CCCCCC">
                  <a:alpha val="100000"/>
                </a:srgbClr>
              </a:solidFill>
            </a:ln>
          </c:spPr>
          <c:marker>
            <c:symbol val="none"/>
          </c:marker>
          <c:cat>
            <c:strRef>
              <c:f>Graficos!$A$298:$A$302</c:f>
              <c:strCache>
                <c:ptCount val="5"/>
                <c:pt idx="0">
                  <c:v>Composição corporal</c:v>
                </c:pt>
                <c:pt idx="1">
                  <c:v>Resistência Muscular</c:v>
                </c:pt>
                <c:pt idx="2">
                  <c:v>Flexibilidade</c:v>
                </c:pt>
                <c:pt idx="3">
                  <c:v>Capacidade Aeróbica</c:v>
                </c:pt>
                <c:pt idx="4">
                  <c:v>Força Muscular</c:v>
                </c:pt>
              </c:strCache>
            </c:strRef>
          </c:cat>
          <c:val>
            <c:numRef>
              <c:f>Graficos!$B$298:$B$302</c:f>
              <c:numCache>
                <c:formatCode>0.00</c:formatCode>
                <c:ptCount val="5"/>
                <c:pt idx="0">
                  <c:v>0.2</c:v>
                </c:pt>
                <c:pt idx="1">
                  <c:v>0.2</c:v>
                </c:pt>
                <c:pt idx="2">
                  <c:v>0.2</c:v>
                </c:pt>
                <c:pt idx="3">
                  <c:v>0.2</c:v>
                </c:pt>
                <c:pt idx="4">
                  <c:v>0.2</c:v>
                </c:pt>
              </c:numCache>
            </c:numRef>
          </c:val>
          <c:extLst>
            <c:ext xmlns:c16="http://schemas.microsoft.com/office/drawing/2014/chart" uri="{C3380CC4-5D6E-409C-BE32-E72D297353CC}">
              <c16:uniqueId val="{00000000-B8CE-4FAA-9BB4-290DB68248AB}"/>
            </c:ext>
          </c:extLst>
        </c:ser>
        <c:ser>
          <c:idx val="1"/>
          <c:order val="1"/>
          <c:tx>
            <c:strRef>
              <c:f>Graficos!$C$297</c:f>
              <c:strCache>
                <c:ptCount val="1"/>
              </c:strCache>
            </c:strRef>
          </c:tx>
          <c:spPr>
            <a:ln cmpd="sng">
              <a:solidFill>
                <a:srgbClr val="D9D9D9">
                  <a:alpha val="100000"/>
                </a:srgbClr>
              </a:solidFill>
            </a:ln>
          </c:spPr>
          <c:marker>
            <c:symbol val="none"/>
          </c:marker>
          <c:cat>
            <c:strRef>
              <c:f>Graficos!$A$298:$A$302</c:f>
              <c:strCache>
                <c:ptCount val="5"/>
                <c:pt idx="0">
                  <c:v>Composição corporal</c:v>
                </c:pt>
                <c:pt idx="1">
                  <c:v>Resistência Muscular</c:v>
                </c:pt>
                <c:pt idx="2">
                  <c:v>Flexibilidade</c:v>
                </c:pt>
                <c:pt idx="3">
                  <c:v>Capacidade Aeróbica</c:v>
                </c:pt>
                <c:pt idx="4">
                  <c:v>Força Muscular</c:v>
                </c:pt>
              </c:strCache>
            </c:strRef>
          </c:cat>
          <c:val>
            <c:numRef>
              <c:f>Graficos!$C$298:$C$302</c:f>
              <c:numCache>
                <c:formatCode>0.00</c:formatCode>
                <c:ptCount val="5"/>
                <c:pt idx="0">
                  <c:v>0.4</c:v>
                </c:pt>
                <c:pt idx="1">
                  <c:v>0.4</c:v>
                </c:pt>
                <c:pt idx="2">
                  <c:v>0.4</c:v>
                </c:pt>
                <c:pt idx="3">
                  <c:v>0.4</c:v>
                </c:pt>
                <c:pt idx="4">
                  <c:v>0.4</c:v>
                </c:pt>
              </c:numCache>
            </c:numRef>
          </c:val>
          <c:extLst>
            <c:ext xmlns:c16="http://schemas.microsoft.com/office/drawing/2014/chart" uri="{C3380CC4-5D6E-409C-BE32-E72D297353CC}">
              <c16:uniqueId val="{00000001-B8CE-4FAA-9BB4-290DB68248AB}"/>
            </c:ext>
          </c:extLst>
        </c:ser>
        <c:ser>
          <c:idx val="2"/>
          <c:order val="2"/>
          <c:tx>
            <c:strRef>
              <c:f>Graficos!$D$297</c:f>
              <c:strCache>
                <c:ptCount val="1"/>
              </c:strCache>
            </c:strRef>
          </c:tx>
          <c:spPr>
            <a:ln cmpd="sng">
              <a:solidFill>
                <a:srgbClr val="D9D9D9">
                  <a:alpha val="100000"/>
                </a:srgbClr>
              </a:solidFill>
            </a:ln>
          </c:spPr>
          <c:marker>
            <c:symbol val="none"/>
          </c:marker>
          <c:cat>
            <c:strRef>
              <c:f>Graficos!$A$298:$A$302</c:f>
              <c:strCache>
                <c:ptCount val="5"/>
                <c:pt idx="0">
                  <c:v>Composição corporal</c:v>
                </c:pt>
                <c:pt idx="1">
                  <c:v>Resistência Muscular</c:v>
                </c:pt>
                <c:pt idx="2">
                  <c:v>Flexibilidade</c:v>
                </c:pt>
                <c:pt idx="3">
                  <c:v>Capacidade Aeróbica</c:v>
                </c:pt>
                <c:pt idx="4">
                  <c:v>Força Muscular</c:v>
                </c:pt>
              </c:strCache>
            </c:strRef>
          </c:cat>
          <c:val>
            <c:numRef>
              <c:f>Graficos!$D$298:$D$302</c:f>
              <c:numCache>
                <c:formatCode>0.00</c:formatCode>
                <c:ptCount val="5"/>
                <c:pt idx="0">
                  <c:v>0.6</c:v>
                </c:pt>
                <c:pt idx="1">
                  <c:v>0.6</c:v>
                </c:pt>
                <c:pt idx="2">
                  <c:v>0.6</c:v>
                </c:pt>
                <c:pt idx="3">
                  <c:v>0.6</c:v>
                </c:pt>
                <c:pt idx="4">
                  <c:v>0.6</c:v>
                </c:pt>
              </c:numCache>
            </c:numRef>
          </c:val>
          <c:extLst>
            <c:ext xmlns:c16="http://schemas.microsoft.com/office/drawing/2014/chart" uri="{C3380CC4-5D6E-409C-BE32-E72D297353CC}">
              <c16:uniqueId val="{00000002-B8CE-4FAA-9BB4-290DB68248AB}"/>
            </c:ext>
          </c:extLst>
        </c:ser>
        <c:ser>
          <c:idx val="3"/>
          <c:order val="3"/>
          <c:tx>
            <c:strRef>
              <c:f>Graficos!$E$297</c:f>
              <c:strCache>
                <c:ptCount val="1"/>
              </c:strCache>
            </c:strRef>
          </c:tx>
          <c:spPr>
            <a:ln cmpd="sng">
              <a:solidFill>
                <a:srgbClr val="D9D9D9">
                  <a:alpha val="100000"/>
                </a:srgbClr>
              </a:solidFill>
            </a:ln>
          </c:spPr>
          <c:marker>
            <c:symbol val="none"/>
          </c:marker>
          <c:cat>
            <c:strRef>
              <c:f>Graficos!$A$298:$A$302</c:f>
              <c:strCache>
                <c:ptCount val="5"/>
                <c:pt idx="0">
                  <c:v>Composição corporal</c:v>
                </c:pt>
                <c:pt idx="1">
                  <c:v>Resistência Muscular</c:v>
                </c:pt>
                <c:pt idx="2">
                  <c:v>Flexibilidade</c:v>
                </c:pt>
                <c:pt idx="3">
                  <c:v>Capacidade Aeróbica</c:v>
                </c:pt>
                <c:pt idx="4">
                  <c:v>Força Muscular</c:v>
                </c:pt>
              </c:strCache>
            </c:strRef>
          </c:cat>
          <c:val>
            <c:numRef>
              <c:f>Graficos!$E$298:$E$302</c:f>
              <c:numCache>
                <c:formatCode>0.00</c:formatCode>
                <c:ptCount val="5"/>
                <c:pt idx="0">
                  <c:v>0.8</c:v>
                </c:pt>
                <c:pt idx="1">
                  <c:v>0.8</c:v>
                </c:pt>
                <c:pt idx="2">
                  <c:v>0.8</c:v>
                </c:pt>
                <c:pt idx="3">
                  <c:v>0.8</c:v>
                </c:pt>
                <c:pt idx="4">
                  <c:v>0.8</c:v>
                </c:pt>
              </c:numCache>
            </c:numRef>
          </c:val>
          <c:extLst>
            <c:ext xmlns:c16="http://schemas.microsoft.com/office/drawing/2014/chart" uri="{C3380CC4-5D6E-409C-BE32-E72D297353CC}">
              <c16:uniqueId val="{00000003-B8CE-4FAA-9BB4-290DB68248AB}"/>
            </c:ext>
          </c:extLst>
        </c:ser>
        <c:ser>
          <c:idx val="4"/>
          <c:order val="4"/>
          <c:tx>
            <c:strRef>
              <c:f>Graficos!$F$297</c:f>
              <c:strCache>
                <c:ptCount val="1"/>
              </c:strCache>
            </c:strRef>
          </c:tx>
          <c:spPr>
            <a:ln cmpd="sng">
              <a:solidFill>
                <a:srgbClr val="D9D9D9">
                  <a:alpha val="100000"/>
                </a:srgbClr>
              </a:solidFill>
            </a:ln>
          </c:spPr>
          <c:marker>
            <c:symbol val="none"/>
          </c:marker>
          <c:cat>
            <c:strRef>
              <c:f>Graficos!$A$298:$A$302</c:f>
              <c:strCache>
                <c:ptCount val="5"/>
                <c:pt idx="0">
                  <c:v>Composição corporal</c:v>
                </c:pt>
                <c:pt idx="1">
                  <c:v>Resistência Muscular</c:v>
                </c:pt>
                <c:pt idx="2">
                  <c:v>Flexibilidade</c:v>
                </c:pt>
                <c:pt idx="3">
                  <c:v>Capacidade Aeróbica</c:v>
                </c:pt>
                <c:pt idx="4">
                  <c:v>Força Muscular</c:v>
                </c:pt>
              </c:strCache>
            </c:strRef>
          </c:cat>
          <c:val>
            <c:numRef>
              <c:f>Graficos!$F$298:$F$302</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4-B8CE-4FAA-9BB4-290DB68248AB}"/>
            </c:ext>
          </c:extLst>
        </c:ser>
        <c:ser>
          <c:idx val="5"/>
          <c:order val="5"/>
          <c:tx>
            <c:strRef>
              <c:f>Graficos!$G$297</c:f>
              <c:strCache>
                <c:ptCount val="1"/>
              </c:strCache>
            </c:strRef>
          </c:tx>
          <c:spPr>
            <a:ln w="19050" cmpd="sng">
              <a:solidFill>
                <a:srgbClr val="000000">
                  <a:alpha val="100000"/>
                </a:srgbClr>
              </a:solidFill>
              <a:prstDash val="solid"/>
            </a:ln>
          </c:spPr>
          <c:marker>
            <c:symbol val="none"/>
          </c:marker>
          <c:cat>
            <c:strRef>
              <c:f>Graficos!$A$298:$A$302</c:f>
              <c:strCache>
                <c:ptCount val="5"/>
                <c:pt idx="0">
                  <c:v>Composição corporal</c:v>
                </c:pt>
                <c:pt idx="1">
                  <c:v>Resistência Muscular</c:v>
                </c:pt>
                <c:pt idx="2">
                  <c:v>Flexibilidade</c:v>
                </c:pt>
                <c:pt idx="3">
                  <c:v>Capacidade Aeróbica</c:v>
                </c:pt>
                <c:pt idx="4">
                  <c:v>Força Muscular</c:v>
                </c:pt>
              </c:strCache>
            </c:strRef>
          </c:cat>
          <c:val>
            <c:numRef>
              <c:f>Graficos!$G$298:$G$302</c:f>
              <c:numCache>
                <c:formatCode>0.00</c:formatCode>
                <c:ptCount val="5"/>
                <c:pt idx="0">
                  <c:v>0</c:v>
                </c:pt>
                <c:pt idx="1">
                  <c:v>#N/A</c:v>
                </c:pt>
                <c:pt idx="2">
                  <c:v>#N/A</c:v>
                </c:pt>
                <c:pt idx="3">
                  <c:v>#N/A</c:v>
                </c:pt>
                <c:pt idx="4">
                  <c:v>#N/A</c:v>
                </c:pt>
              </c:numCache>
            </c:numRef>
          </c:val>
          <c:extLst>
            <c:ext xmlns:c16="http://schemas.microsoft.com/office/drawing/2014/chart" uri="{C3380CC4-5D6E-409C-BE32-E72D297353CC}">
              <c16:uniqueId val="{00000005-B8CE-4FAA-9BB4-290DB68248AB}"/>
            </c:ext>
          </c:extLst>
        </c:ser>
        <c:ser>
          <c:idx val="6"/>
          <c:order val="6"/>
          <c:tx>
            <c:strRef>
              <c:f>Graficos!$H$297</c:f>
              <c:strCache>
                <c:ptCount val="1"/>
              </c:strCache>
            </c:strRef>
          </c:tx>
          <c:spPr>
            <a:ln w="9525" cmpd="sng">
              <a:solidFill>
                <a:srgbClr val="7BAAF7"/>
              </a:solidFill>
            </a:ln>
          </c:spPr>
          <c:marker>
            <c:symbol val="none"/>
          </c:marker>
          <c:cat>
            <c:strRef>
              <c:f>Graficos!$A$298:$A$302</c:f>
              <c:strCache>
                <c:ptCount val="5"/>
                <c:pt idx="0">
                  <c:v>Composição corporal</c:v>
                </c:pt>
                <c:pt idx="1">
                  <c:v>Resistência Muscular</c:v>
                </c:pt>
                <c:pt idx="2">
                  <c:v>Flexibilidade</c:v>
                </c:pt>
                <c:pt idx="3">
                  <c:v>Capacidade Aeróbica</c:v>
                </c:pt>
                <c:pt idx="4">
                  <c:v>Força Muscular</c:v>
                </c:pt>
              </c:strCache>
            </c:strRef>
          </c:cat>
          <c:val>
            <c:numRef>
              <c:f>Graficos!$H$298:$H$302</c:f>
              <c:numCache>
                <c:formatCode>0.00</c:formatCode>
                <c:ptCount val="5"/>
                <c:pt idx="0">
                  <c:v>#N/A</c:v>
                </c:pt>
                <c:pt idx="1">
                  <c:v>#N/A</c:v>
                </c:pt>
                <c:pt idx="2">
                  <c:v>#N/A</c:v>
                </c:pt>
                <c:pt idx="3">
                  <c:v>#N/A</c:v>
                </c:pt>
                <c:pt idx="4">
                  <c:v>#N/A</c:v>
                </c:pt>
              </c:numCache>
            </c:numRef>
          </c:val>
          <c:extLst>
            <c:ext xmlns:c16="http://schemas.microsoft.com/office/drawing/2014/chart" uri="{C3380CC4-5D6E-409C-BE32-E72D297353CC}">
              <c16:uniqueId val="{00000006-B8CE-4FAA-9BB4-290DB68248AB}"/>
            </c:ext>
          </c:extLst>
        </c:ser>
        <c:dLbls>
          <c:showLegendKey val="0"/>
          <c:showVal val="0"/>
          <c:showCatName val="0"/>
          <c:showSerName val="0"/>
          <c:showPercent val="0"/>
          <c:showBubbleSize val="0"/>
        </c:dLbls>
        <c:axId val="346127033"/>
        <c:axId val="1838441548"/>
      </c:radarChart>
      <c:catAx>
        <c:axId val="346127033"/>
        <c:scaling>
          <c:orientation val="minMax"/>
        </c:scaling>
        <c:delete val="0"/>
        <c:axPos val="b"/>
        <c:title>
          <c:tx>
            <c:rich>
              <a:bodyPr/>
              <a:lstStyle/>
              <a:p>
                <a:pPr lvl="0">
                  <a:defRPr b="1">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838441548"/>
        <c:crosses val="autoZero"/>
        <c:auto val="1"/>
        <c:lblAlgn val="ctr"/>
        <c:lblOffset val="100"/>
        <c:noMultiLvlLbl val="1"/>
      </c:catAx>
      <c:valAx>
        <c:axId val="183844154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346127033"/>
        <c:crosses val="autoZero"/>
        <c:crossBetween val="between"/>
      </c:valAx>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93C47D"/>
              </a:solidFill>
            </c:spPr>
            <c:extLst>
              <c:ext xmlns:c16="http://schemas.microsoft.com/office/drawing/2014/chart" uri="{C3380CC4-5D6E-409C-BE32-E72D297353CC}">
                <c16:uniqueId val="{00000001-6177-4AC5-8974-FAF2B2474CED}"/>
              </c:ext>
            </c:extLst>
          </c:dPt>
          <c:dPt>
            <c:idx val="1"/>
            <c:bubble3D val="0"/>
            <c:spPr>
              <a:solidFill>
                <a:srgbClr val="6D9EEB"/>
              </a:solidFill>
            </c:spPr>
            <c:extLst>
              <c:ext xmlns:c16="http://schemas.microsoft.com/office/drawing/2014/chart" uri="{C3380CC4-5D6E-409C-BE32-E72D297353CC}">
                <c16:uniqueId val="{00000003-6177-4AC5-8974-FAF2B2474CED}"/>
              </c:ext>
            </c:extLst>
          </c:dPt>
          <c:dPt>
            <c:idx val="2"/>
            <c:bubble3D val="0"/>
            <c:spPr>
              <a:solidFill>
                <a:srgbClr val="F6B26B"/>
              </a:solidFill>
            </c:spPr>
            <c:extLst>
              <c:ext xmlns:c16="http://schemas.microsoft.com/office/drawing/2014/chart" uri="{C3380CC4-5D6E-409C-BE32-E72D297353CC}">
                <c16:uniqueId val="{00000005-6177-4AC5-8974-FAF2B2474CE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Graficos!$A$322:$A$324</c:f>
              <c:strCache>
                <c:ptCount val="3"/>
                <c:pt idx="0">
                  <c:v>Proteínas</c:v>
                </c:pt>
                <c:pt idx="1">
                  <c:v>Carboidratos</c:v>
                </c:pt>
                <c:pt idx="2">
                  <c:v>Lipídios</c:v>
                </c:pt>
              </c:strCache>
            </c:strRef>
          </c:cat>
          <c:val>
            <c:numRef>
              <c:f>Graficos!$B$322:$B$324</c:f>
              <c:numCache>
                <c:formatCode>0.0</c:formatCode>
                <c:ptCount val="3"/>
                <c:pt idx="0">
                  <c:v>20.99737532808399</c:v>
                </c:pt>
                <c:pt idx="1">
                  <c:v>57.742782152230966</c:v>
                </c:pt>
                <c:pt idx="2">
                  <c:v>21.259842519685041</c:v>
                </c:pt>
              </c:numCache>
            </c:numRef>
          </c:val>
          <c:extLst>
            <c:ext xmlns:c16="http://schemas.microsoft.com/office/drawing/2014/chart" uri="{C3380CC4-5D6E-409C-BE32-E72D297353CC}">
              <c16:uniqueId val="{00000006-6177-4AC5-8974-FAF2B2474CED}"/>
            </c:ext>
          </c:extLst>
        </c:ser>
        <c:dLbls>
          <c:showLegendKey val="0"/>
          <c:showVal val="0"/>
          <c:showCatName val="0"/>
          <c:showSerName val="0"/>
          <c:showPercent val="0"/>
          <c:showBubbleSize val="0"/>
          <c:showLeaderLines val="1"/>
        </c:dLbls>
      </c:pie3DChart>
    </c:plotArea>
    <c:legend>
      <c:legendPos val="b"/>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bar"/>
        <c:grouping val="clustered"/>
        <c:varyColors val="1"/>
        <c:ser>
          <c:idx val="0"/>
          <c:order val="0"/>
          <c:spPr>
            <a:solidFill>
              <a:srgbClr val="6D9EEB"/>
            </a:solidFill>
            <a:ln cmpd="sng">
              <a:solidFill>
                <a:srgbClr val="000000"/>
              </a:solidFill>
            </a:ln>
          </c:spPr>
          <c:invertIfNegative val="1"/>
          <c:dLbls>
            <c:spPr>
              <a:noFill/>
              <a:ln>
                <a:noFill/>
              </a:ln>
              <a:effectLst/>
            </c:spPr>
            <c:txPr>
              <a:bodyPr/>
              <a:lstStyle/>
              <a:p>
                <a:pPr lvl="0">
                  <a:defRPr b="1" i="0">
                    <a:solidFill>
                      <a:srgbClr val="000000"/>
                    </a:solidFill>
                    <a:latin typeface="Arial black"/>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Graficos!$A$327:$A$328</c:f>
              <c:strCache>
                <c:ptCount val="2"/>
                <c:pt idx="0">
                  <c:v>Necessidade</c:v>
                </c:pt>
                <c:pt idx="1">
                  <c:v>Sugestão</c:v>
                </c:pt>
              </c:strCache>
            </c:strRef>
          </c:cat>
          <c:val>
            <c:numRef>
              <c:f>Graficos!$B$327:$B$328</c:f>
              <c:numCache>
                <c:formatCode>0</c:formatCode>
                <c:ptCount val="2"/>
                <c:pt idx="1">
                  <c:v>2613.66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D65-4BAF-8634-196AD567AAB6}"/>
            </c:ext>
          </c:extLst>
        </c:ser>
        <c:ser>
          <c:idx val="1"/>
          <c:order val="1"/>
          <c:spPr>
            <a:solidFill>
              <a:srgbClr val="93C47D"/>
            </a:solidFill>
            <a:ln cmpd="sng">
              <a:solidFill>
                <a:srgbClr val="000000"/>
              </a:solidFill>
            </a:ln>
          </c:spPr>
          <c:invertIfNegative val="1"/>
          <c:dLbls>
            <c:spPr>
              <a:noFill/>
              <a:ln>
                <a:noFill/>
              </a:ln>
              <a:effectLst/>
            </c:spPr>
            <c:txPr>
              <a:bodyPr/>
              <a:lstStyle/>
              <a:p>
                <a:pPr lvl="0">
                  <a:defRPr b="1" i="0">
                    <a:solidFill>
                      <a:srgbClr val="000000"/>
                    </a:solidFill>
                    <a:latin typeface="Arial black"/>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Graficos!$A$327:$A$328</c:f>
              <c:strCache>
                <c:ptCount val="2"/>
                <c:pt idx="0">
                  <c:v>Necessidade</c:v>
                </c:pt>
                <c:pt idx="1">
                  <c:v>Sugestão</c:v>
                </c:pt>
              </c:strCache>
            </c:strRef>
          </c:cat>
          <c:val>
            <c:numRef>
              <c:f>Graficos!$C$327:$C$328</c:f>
              <c:numCache>
                <c:formatCode>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D65-4BAF-8634-196AD567AAB6}"/>
            </c:ext>
          </c:extLst>
        </c:ser>
        <c:dLbls>
          <c:showLegendKey val="0"/>
          <c:showVal val="0"/>
          <c:showCatName val="0"/>
          <c:showSerName val="0"/>
          <c:showPercent val="0"/>
          <c:showBubbleSize val="0"/>
        </c:dLbls>
        <c:gapWidth val="150"/>
        <c:shape val="box"/>
        <c:axId val="978477027"/>
        <c:axId val="371153589"/>
        <c:axId val="0"/>
      </c:bar3DChart>
      <c:catAx>
        <c:axId val="978477027"/>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a:solidFill>
                  <a:srgbClr val="000000"/>
                </a:solidFill>
                <a:latin typeface="+mn-lt"/>
              </a:defRPr>
            </a:pPr>
            <a:endParaRPr lang="pt-BR"/>
          </a:p>
        </c:txPr>
        <c:crossAx val="371153589"/>
        <c:crosses val="autoZero"/>
        <c:auto val="1"/>
        <c:lblAlgn val="ctr"/>
        <c:lblOffset val="100"/>
        <c:noMultiLvlLbl val="1"/>
      </c:catAx>
      <c:valAx>
        <c:axId val="37115358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978477027"/>
        <c:crosses val="max"/>
        <c:crossBetween val="between"/>
      </c:valAx>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0"/>
        <c:ser>
          <c:idx val="0"/>
          <c:order val="0"/>
          <c:tx>
            <c:strRef>
              <c:f>Graficos!$A$332</c:f>
              <c:strCache>
                <c:ptCount val="1"/>
                <c:pt idx="0">
                  <c:v>Gordura (kg)</c:v>
                </c:pt>
              </c:strCache>
            </c:strRef>
          </c:tx>
          <c:spPr>
            <a:ln cmpd="sng">
              <a:solidFill>
                <a:srgbClr val="4285F4"/>
              </a:solidFill>
            </a:ln>
          </c:spPr>
          <c:marker>
            <c:symbol val="circle"/>
            <c:size val="10"/>
            <c:spPr>
              <a:solidFill>
                <a:srgbClr val="4285F4"/>
              </a:solidFill>
              <a:ln cmpd="sng">
                <a:solidFill>
                  <a:srgbClr val="4285F4"/>
                </a:solidFill>
              </a:ln>
            </c:spPr>
          </c:marker>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Graficos!$B$331:$K$331</c:f>
              <c:numCache>
                <c:formatCode>0</c:formatCode>
                <c:ptCount val="10"/>
                <c:pt idx="0" formatCode="General">
                  <c:v>0</c:v>
                </c:pt>
                <c:pt idx="1">
                  <c:v>0</c:v>
                </c:pt>
                <c:pt idx="2">
                  <c:v>0</c:v>
                </c:pt>
                <c:pt idx="3">
                  <c:v>0</c:v>
                </c:pt>
                <c:pt idx="4">
                  <c:v>0</c:v>
                </c:pt>
                <c:pt idx="5">
                  <c:v>0</c:v>
                </c:pt>
                <c:pt idx="6">
                  <c:v>0</c:v>
                </c:pt>
                <c:pt idx="7">
                  <c:v>0</c:v>
                </c:pt>
                <c:pt idx="8">
                  <c:v>0</c:v>
                </c:pt>
                <c:pt idx="9" formatCode="General">
                  <c:v>0</c:v>
                </c:pt>
              </c:numCache>
            </c:numRef>
          </c:cat>
          <c:val>
            <c:numRef>
              <c:f>Graficos!$B$332:$K$332</c:f>
              <c:numCache>
                <c:formatCode>0.0</c:formatCode>
                <c:ptCount val="10"/>
                <c:pt idx="0">
                  <c:v>4.7317404841358313</c:v>
                </c:pt>
                <c:pt idx="1">
                  <c:v>0</c:v>
                </c:pt>
                <c:pt idx="2">
                  <c:v>0</c:v>
                </c:pt>
                <c:pt idx="3">
                  <c:v>0</c:v>
                </c:pt>
                <c:pt idx="4">
                  <c:v>0</c:v>
                </c:pt>
                <c:pt idx="5">
                  <c:v>0</c:v>
                </c:pt>
                <c:pt idx="6">
                  <c:v>0</c:v>
                </c:pt>
                <c:pt idx="7">
                  <c:v>0</c:v>
                </c:pt>
                <c:pt idx="8">
                  <c:v>0</c:v>
                </c:pt>
                <c:pt idx="9">
                  <c:v>5.120967741935484</c:v>
                </c:pt>
              </c:numCache>
            </c:numRef>
          </c:val>
          <c:smooth val="0"/>
          <c:extLst>
            <c:ext xmlns:c16="http://schemas.microsoft.com/office/drawing/2014/chart" uri="{C3380CC4-5D6E-409C-BE32-E72D297353CC}">
              <c16:uniqueId val="{00000000-5131-42A4-9113-CCEAC6258711}"/>
            </c:ext>
          </c:extLst>
        </c:ser>
        <c:dLbls>
          <c:showLegendKey val="0"/>
          <c:showVal val="0"/>
          <c:showCatName val="0"/>
          <c:showSerName val="0"/>
          <c:showPercent val="0"/>
          <c:showBubbleSize val="0"/>
        </c:dLbls>
        <c:marker val="1"/>
        <c:smooth val="0"/>
        <c:axId val="2041534387"/>
        <c:axId val="178867730"/>
      </c:lineChart>
      <c:catAx>
        <c:axId val="2041534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Dias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78867730"/>
        <c:crosses val="autoZero"/>
        <c:auto val="1"/>
        <c:lblAlgn val="ctr"/>
        <c:lblOffset val="100"/>
        <c:noMultiLvlLbl val="1"/>
      </c:catAx>
      <c:valAx>
        <c:axId val="1788677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Gordura (kg)</a:t>
                </a:r>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pt-BR"/>
          </a:p>
        </c:txPr>
        <c:crossAx val="2041534387"/>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ubbleChart>
        <c:varyColors val="1"/>
        <c:ser>
          <c:idx val="0"/>
          <c:order val="0"/>
          <c:tx>
            <c:strRef>
              <c:f>Graficos!$A$338</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Graficos!$B$338</c:f>
              <c:numCache>
                <c:formatCode>h:mm:ss</c:formatCode>
                <c:ptCount val="1"/>
                <c:pt idx="0">
                  <c:v>0</c:v>
                </c:pt>
              </c:numCache>
            </c:numRef>
          </c:xVal>
          <c:yVal>
            <c:numRef>
              <c:f>Graficos!$C$338</c:f>
              <c:numCache>
                <c:formatCode>0.00</c:formatCode>
                <c:ptCount val="1"/>
              </c:numCache>
            </c:numRef>
          </c:yVal>
          <c:bubbleSize>
            <c:numRef>
              <c:f>Graficos!$E$338</c:f>
              <c:numCache>
                <c:formatCode>0.0</c:formatCode>
                <c:ptCount val="1"/>
              </c:numCache>
            </c:numRef>
          </c:bubbleSize>
          <c:bubble3D val="0"/>
          <c:extLst>
            <c:ext xmlns:c16="http://schemas.microsoft.com/office/drawing/2014/chart" uri="{C3380CC4-5D6E-409C-BE32-E72D297353CC}">
              <c16:uniqueId val="{00000000-5D82-4586-9DE2-0E67F239ADD4}"/>
            </c:ext>
          </c:extLst>
        </c:ser>
        <c:ser>
          <c:idx val="1"/>
          <c:order val="1"/>
          <c:tx>
            <c:strRef>
              <c:f>Graficos!$A$339</c:f>
              <c:strCache>
                <c:ptCount val="1"/>
                <c:pt idx="0">
                  <c:v>Café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Graficos!$B$339</c:f>
              <c:numCache>
                <c:formatCode>h:mm:ss</c:formatCode>
                <c:ptCount val="1"/>
                <c:pt idx="0">
                  <c:v>0.29166666666666669</c:v>
                </c:pt>
              </c:numCache>
            </c:numRef>
          </c:xVal>
          <c:yVal>
            <c:numRef>
              <c:f>Graficos!$C$339</c:f>
              <c:numCache>
                <c:formatCode>0.00</c:formatCode>
                <c:ptCount val="1"/>
                <c:pt idx="0">
                  <c:v>350.88385499999998</c:v>
                </c:pt>
              </c:numCache>
            </c:numRef>
          </c:yVal>
          <c:bubbleSize>
            <c:numRef>
              <c:f>Graficos!$E$339</c:f>
              <c:numCache>
                <c:formatCode>0.0</c:formatCode>
                <c:ptCount val="1"/>
                <c:pt idx="0">
                  <c:v>350.88385499999998</c:v>
                </c:pt>
              </c:numCache>
            </c:numRef>
          </c:bubbleSize>
          <c:bubble3D val="0"/>
          <c:extLst>
            <c:ext xmlns:c16="http://schemas.microsoft.com/office/drawing/2014/chart" uri="{C3380CC4-5D6E-409C-BE32-E72D297353CC}">
              <c16:uniqueId val="{00000001-5D82-4586-9DE2-0E67F239ADD4}"/>
            </c:ext>
          </c:extLst>
        </c:ser>
        <c:ser>
          <c:idx val="2"/>
          <c:order val="2"/>
          <c:tx>
            <c:strRef>
              <c:f>Graficos!$A$340</c:f>
              <c:strCache>
                <c:ptCount val="1"/>
                <c:pt idx="0">
                  <c:v>Café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Graficos!$B$340</c:f>
              <c:numCache>
                <c:formatCode>h:mm:ss</c:formatCode>
                <c:ptCount val="1"/>
                <c:pt idx="0">
                  <c:v>0.29166666666666669</c:v>
                </c:pt>
              </c:numCache>
            </c:numRef>
          </c:xVal>
          <c:yVal>
            <c:numRef>
              <c:f>Graficos!$C$340</c:f>
              <c:numCache>
                <c:formatCode>0.00</c:formatCode>
                <c:ptCount val="1"/>
                <c:pt idx="0">
                  <c:v>155.51276999999999</c:v>
                </c:pt>
              </c:numCache>
            </c:numRef>
          </c:yVal>
          <c:bubbleSize>
            <c:numRef>
              <c:f>Graficos!$E$340</c:f>
              <c:numCache>
                <c:formatCode>0.0</c:formatCode>
                <c:ptCount val="1"/>
                <c:pt idx="0">
                  <c:v>155.51276999999999</c:v>
                </c:pt>
              </c:numCache>
            </c:numRef>
          </c:bubbleSize>
          <c:bubble3D val="0"/>
          <c:extLst>
            <c:ext xmlns:c16="http://schemas.microsoft.com/office/drawing/2014/chart" uri="{C3380CC4-5D6E-409C-BE32-E72D297353CC}">
              <c16:uniqueId val="{00000002-5D82-4586-9DE2-0E67F239ADD4}"/>
            </c:ext>
          </c:extLst>
        </c:ser>
        <c:ser>
          <c:idx val="3"/>
          <c:order val="3"/>
          <c:tx>
            <c:strRef>
              <c:f>Graficos!$A$341</c:f>
              <c:strCache>
                <c:ptCount val="1"/>
                <c:pt idx="0">
                  <c:v>Café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Graficos!$B$341</c:f>
              <c:numCache>
                <c:formatCode>h:mm:ss</c:formatCode>
                <c:ptCount val="1"/>
                <c:pt idx="0">
                  <c:v>0.29166666666666669</c:v>
                </c:pt>
              </c:numCache>
            </c:numRef>
          </c:xVal>
          <c:yVal>
            <c:numRef>
              <c:f>Graficos!$C$341</c:f>
              <c:numCache>
                <c:formatCode>0.00</c:formatCode>
                <c:ptCount val="1"/>
                <c:pt idx="0">
                  <c:v>147.01837499999999</c:v>
                </c:pt>
              </c:numCache>
            </c:numRef>
          </c:yVal>
          <c:bubbleSize>
            <c:numRef>
              <c:f>Graficos!$E$341</c:f>
              <c:numCache>
                <c:formatCode>0.0</c:formatCode>
                <c:ptCount val="1"/>
                <c:pt idx="0">
                  <c:v>147.01837499999999</c:v>
                </c:pt>
              </c:numCache>
            </c:numRef>
          </c:bubbleSize>
          <c:bubble3D val="0"/>
          <c:extLst>
            <c:ext xmlns:c16="http://schemas.microsoft.com/office/drawing/2014/chart" uri="{C3380CC4-5D6E-409C-BE32-E72D297353CC}">
              <c16:uniqueId val="{00000003-5D82-4586-9DE2-0E67F239ADD4}"/>
            </c:ext>
          </c:extLst>
        </c:ser>
        <c:ser>
          <c:idx val="4"/>
          <c:order val="4"/>
          <c:tx>
            <c:strRef>
              <c:f>Graficos!$A$342</c:f>
              <c:strCache>
                <c:ptCount val="1"/>
                <c:pt idx="0">
                  <c:v>Lanche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Graficos!$B$342</c:f>
              <c:numCache>
                <c:formatCode>h:mm:ss</c:formatCode>
                <c:ptCount val="1"/>
                <c:pt idx="0">
                  <c:v>0.375</c:v>
                </c:pt>
              </c:numCache>
            </c:numRef>
          </c:xVal>
          <c:yVal>
            <c:numRef>
              <c:f>Graficos!$C$342</c:f>
              <c:numCache>
                <c:formatCode>0.00</c:formatCode>
                <c:ptCount val="1"/>
                <c:pt idx="0">
                  <c:v>140.353542</c:v>
                </c:pt>
              </c:numCache>
            </c:numRef>
          </c:yVal>
          <c:bubbleSize>
            <c:numRef>
              <c:f>Graficos!$E$342</c:f>
              <c:numCache>
                <c:formatCode>0.0</c:formatCode>
                <c:ptCount val="1"/>
                <c:pt idx="0">
                  <c:v>140.353542</c:v>
                </c:pt>
              </c:numCache>
            </c:numRef>
          </c:bubbleSize>
          <c:bubble3D val="0"/>
          <c:extLst>
            <c:ext xmlns:c16="http://schemas.microsoft.com/office/drawing/2014/chart" uri="{C3380CC4-5D6E-409C-BE32-E72D297353CC}">
              <c16:uniqueId val="{00000004-5D82-4586-9DE2-0E67F239ADD4}"/>
            </c:ext>
          </c:extLst>
        </c:ser>
        <c:ser>
          <c:idx val="5"/>
          <c:order val="5"/>
          <c:tx>
            <c:strRef>
              <c:f>Graficos!$A$343</c:f>
              <c:strCache>
                <c:ptCount val="1"/>
                <c:pt idx="0">
                  <c:v>Lanche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Graficos!$B$343</c:f>
              <c:numCache>
                <c:formatCode>h:mm:ss</c:formatCode>
                <c:ptCount val="1"/>
                <c:pt idx="0">
                  <c:v>0.375</c:v>
                </c:pt>
              </c:numCache>
            </c:numRef>
          </c:xVal>
          <c:yVal>
            <c:numRef>
              <c:f>Graficos!$C$343</c:f>
              <c:numCache>
                <c:formatCode>0.00</c:formatCode>
                <c:ptCount val="1"/>
                <c:pt idx="0">
                  <c:v>62.205108000000003</c:v>
                </c:pt>
              </c:numCache>
            </c:numRef>
          </c:yVal>
          <c:bubbleSize>
            <c:numRef>
              <c:f>Graficos!$E$343</c:f>
              <c:numCache>
                <c:formatCode>0.0</c:formatCode>
                <c:ptCount val="1"/>
                <c:pt idx="0">
                  <c:v>62.205108000000003</c:v>
                </c:pt>
              </c:numCache>
            </c:numRef>
          </c:bubbleSize>
          <c:bubble3D val="0"/>
          <c:extLst>
            <c:ext xmlns:c16="http://schemas.microsoft.com/office/drawing/2014/chart" uri="{C3380CC4-5D6E-409C-BE32-E72D297353CC}">
              <c16:uniqueId val="{00000005-5D82-4586-9DE2-0E67F239ADD4}"/>
            </c:ext>
          </c:extLst>
        </c:ser>
        <c:ser>
          <c:idx val="6"/>
          <c:order val="6"/>
          <c:tx>
            <c:strRef>
              <c:f>Graficos!$A$344</c:f>
              <c:strCache>
                <c:ptCount val="1"/>
                <c:pt idx="0">
                  <c:v>Lanche da Manhã</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Graficos!$B$344</c:f>
              <c:numCache>
                <c:formatCode>h:mm:ss</c:formatCode>
                <c:ptCount val="1"/>
                <c:pt idx="0">
                  <c:v>0.375</c:v>
                </c:pt>
              </c:numCache>
            </c:numRef>
          </c:xVal>
          <c:yVal>
            <c:numRef>
              <c:f>Graficos!$C$344</c:f>
              <c:numCache>
                <c:formatCode>0.00</c:formatCode>
                <c:ptCount val="1"/>
                <c:pt idx="0">
                  <c:v>58.80735</c:v>
                </c:pt>
              </c:numCache>
            </c:numRef>
          </c:yVal>
          <c:bubbleSize>
            <c:numRef>
              <c:f>Graficos!$E$344</c:f>
              <c:numCache>
                <c:formatCode>0.0</c:formatCode>
                <c:ptCount val="1"/>
                <c:pt idx="0">
                  <c:v>58.80735</c:v>
                </c:pt>
              </c:numCache>
            </c:numRef>
          </c:bubbleSize>
          <c:bubble3D val="0"/>
          <c:extLst>
            <c:ext xmlns:c16="http://schemas.microsoft.com/office/drawing/2014/chart" uri="{C3380CC4-5D6E-409C-BE32-E72D297353CC}">
              <c16:uniqueId val="{00000006-5D82-4586-9DE2-0E67F239ADD4}"/>
            </c:ext>
          </c:extLst>
        </c:ser>
        <c:ser>
          <c:idx val="7"/>
          <c:order val="7"/>
          <c:tx>
            <c:strRef>
              <c:f>Graficos!$A$345</c:f>
              <c:strCache>
                <c:ptCount val="1"/>
                <c:pt idx="0">
                  <c:v>Almoço</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Graficos!$B$345</c:f>
              <c:numCache>
                <c:formatCode>h:mm:ss</c:formatCode>
                <c:ptCount val="1"/>
                <c:pt idx="0">
                  <c:v>0.5</c:v>
                </c:pt>
              </c:numCache>
            </c:numRef>
          </c:xVal>
          <c:yVal>
            <c:numRef>
              <c:f>Graficos!$C$345</c:f>
              <c:numCache>
                <c:formatCode>0.00</c:formatCode>
                <c:ptCount val="1"/>
                <c:pt idx="0">
                  <c:v>491.23739699999999</c:v>
                </c:pt>
              </c:numCache>
            </c:numRef>
          </c:yVal>
          <c:bubbleSize>
            <c:numRef>
              <c:f>Graficos!$E$345</c:f>
              <c:numCache>
                <c:formatCode>0.0</c:formatCode>
                <c:ptCount val="1"/>
                <c:pt idx="0">
                  <c:v>491.23739699999999</c:v>
                </c:pt>
              </c:numCache>
            </c:numRef>
          </c:bubbleSize>
          <c:bubble3D val="0"/>
          <c:extLst>
            <c:ext xmlns:c16="http://schemas.microsoft.com/office/drawing/2014/chart" uri="{C3380CC4-5D6E-409C-BE32-E72D297353CC}">
              <c16:uniqueId val="{00000007-5D82-4586-9DE2-0E67F239ADD4}"/>
            </c:ext>
          </c:extLst>
        </c:ser>
        <c:ser>
          <c:idx val="8"/>
          <c:order val="8"/>
          <c:tx>
            <c:strRef>
              <c:f>Graficos!$A$346</c:f>
              <c:strCache>
                <c:ptCount val="1"/>
                <c:pt idx="0">
                  <c:v>Almoço</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Graficos!$B$346</c:f>
              <c:numCache>
                <c:formatCode>h:mm:ss</c:formatCode>
                <c:ptCount val="1"/>
                <c:pt idx="0">
                  <c:v>0.5</c:v>
                </c:pt>
              </c:numCache>
            </c:numRef>
          </c:xVal>
          <c:yVal>
            <c:numRef>
              <c:f>Graficos!$C$346</c:f>
              <c:numCache>
                <c:formatCode>0.00</c:formatCode>
                <c:ptCount val="1"/>
                <c:pt idx="0">
                  <c:v>217.71787799999998</c:v>
                </c:pt>
              </c:numCache>
            </c:numRef>
          </c:yVal>
          <c:bubbleSize>
            <c:numRef>
              <c:f>Graficos!$E$346</c:f>
              <c:numCache>
                <c:formatCode>0.0</c:formatCode>
                <c:ptCount val="1"/>
                <c:pt idx="0">
                  <c:v>217.71787799999998</c:v>
                </c:pt>
              </c:numCache>
            </c:numRef>
          </c:bubbleSize>
          <c:bubble3D val="0"/>
          <c:extLst>
            <c:ext xmlns:c16="http://schemas.microsoft.com/office/drawing/2014/chart" uri="{C3380CC4-5D6E-409C-BE32-E72D297353CC}">
              <c16:uniqueId val="{00000008-5D82-4586-9DE2-0E67F239ADD4}"/>
            </c:ext>
          </c:extLst>
        </c:ser>
        <c:ser>
          <c:idx val="9"/>
          <c:order val="9"/>
          <c:tx>
            <c:strRef>
              <c:f>Graficos!$A$347</c:f>
              <c:strCache>
                <c:ptCount val="1"/>
                <c:pt idx="0">
                  <c:v>Almoço</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Graficos!$B$347</c:f>
              <c:numCache>
                <c:formatCode>h:mm:ss</c:formatCode>
                <c:ptCount val="1"/>
                <c:pt idx="0">
                  <c:v>0.5</c:v>
                </c:pt>
              </c:numCache>
            </c:numRef>
          </c:xVal>
          <c:yVal>
            <c:numRef>
              <c:f>Graficos!$C$347</c:f>
              <c:numCache>
                <c:formatCode>0.00</c:formatCode>
                <c:ptCount val="1"/>
                <c:pt idx="0">
                  <c:v>205.82572499999998</c:v>
                </c:pt>
              </c:numCache>
            </c:numRef>
          </c:yVal>
          <c:bubbleSize>
            <c:numRef>
              <c:f>Graficos!$E$347</c:f>
              <c:numCache>
                <c:formatCode>0.0</c:formatCode>
                <c:ptCount val="1"/>
                <c:pt idx="0">
                  <c:v>205.82572499999998</c:v>
                </c:pt>
              </c:numCache>
            </c:numRef>
          </c:bubbleSize>
          <c:bubble3D val="0"/>
          <c:extLst>
            <c:ext xmlns:c16="http://schemas.microsoft.com/office/drawing/2014/chart" uri="{C3380CC4-5D6E-409C-BE32-E72D297353CC}">
              <c16:uniqueId val="{00000009-5D82-4586-9DE2-0E67F239ADD4}"/>
            </c:ext>
          </c:extLst>
        </c:ser>
        <c:ser>
          <c:idx val="10"/>
          <c:order val="10"/>
          <c:tx>
            <c:strRef>
              <c:f>Graficos!$A$348</c:f>
              <c:strCache>
                <c:ptCount val="1"/>
                <c:pt idx="0">
                  <c:v>Lanche da Tarde</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Graficos!$B$348</c:f>
              <c:numCache>
                <c:formatCode>h:mm:ss</c:formatCode>
                <c:ptCount val="1"/>
                <c:pt idx="0">
                  <c:v>0.66666666666666663</c:v>
                </c:pt>
              </c:numCache>
            </c:numRef>
          </c:xVal>
          <c:yVal>
            <c:numRef>
              <c:f>Graficos!$C$348</c:f>
              <c:numCache>
                <c:formatCode>0.00</c:formatCode>
                <c:ptCount val="1"/>
                <c:pt idx="0">
                  <c:v>140.353542</c:v>
                </c:pt>
              </c:numCache>
            </c:numRef>
          </c:yVal>
          <c:bubbleSize>
            <c:numRef>
              <c:f>Graficos!$E$348</c:f>
              <c:numCache>
                <c:formatCode>0.0</c:formatCode>
                <c:ptCount val="1"/>
                <c:pt idx="0">
                  <c:v>140.353542</c:v>
                </c:pt>
              </c:numCache>
            </c:numRef>
          </c:bubbleSize>
          <c:bubble3D val="0"/>
          <c:extLst>
            <c:ext xmlns:c16="http://schemas.microsoft.com/office/drawing/2014/chart" uri="{C3380CC4-5D6E-409C-BE32-E72D297353CC}">
              <c16:uniqueId val="{0000000A-5D82-4586-9DE2-0E67F239ADD4}"/>
            </c:ext>
          </c:extLst>
        </c:ser>
        <c:ser>
          <c:idx val="11"/>
          <c:order val="11"/>
          <c:tx>
            <c:strRef>
              <c:f>Graficos!$A$349</c:f>
              <c:strCache>
                <c:ptCount val="1"/>
                <c:pt idx="0">
                  <c:v>Lanche da Tarde</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Graficos!$B$349</c:f>
              <c:numCache>
                <c:formatCode>h:mm:ss</c:formatCode>
                <c:ptCount val="1"/>
                <c:pt idx="0">
                  <c:v>0.66666666666666663</c:v>
                </c:pt>
              </c:numCache>
            </c:numRef>
          </c:xVal>
          <c:yVal>
            <c:numRef>
              <c:f>Graficos!$C$349</c:f>
              <c:numCache>
                <c:formatCode>0.00</c:formatCode>
                <c:ptCount val="1"/>
                <c:pt idx="0">
                  <c:v>62.205108000000003</c:v>
                </c:pt>
              </c:numCache>
            </c:numRef>
          </c:yVal>
          <c:bubbleSize>
            <c:numRef>
              <c:f>Graficos!$E$349</c:f>
              <c:numCache>
                <c:formatCode>0.0</c:formatCode>
                <c:ptCount val="1"/>
                <c:pt idx="0">
                  <c:v>62.205108000000003</c:v>
                </c:pt>
              </c:numCache>
            </c:numRef>
          </c:bubbleSize>
          <c:bubble3D val="0"/>
          <c:extLst>
            <c:ext xmlns:c16="http://schemas.microsoft.com/office/drawing/2014/chart" uri="{C3380CC4-5D6E-409C-BE32-E72D297353CC}">
              <c16:uniqueId val="{0000000B-5D82-4586-9DE2-0E67F239ADD4}"/>
            </c:ext>
          </c:extLst>
        </c:ser>
        <c:ser>
          <c:idx val="12"/>
          <c:order val="12"/>
          <c:tx>
            <c:strRef>
              <c:f>Graficos!$A$350</c:f>
              <c:strCache>
                <c:ptCount val="1"/>
                <c:pt idx="0">
                  <c:v>Lanche da Tarde</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Graficos!$B$350</c:f>
              <c:numCache>
                <c:formatCode>h:mm:ss</c:formatCode>
                <c:ptCount val="1"/>
                <c:pt idx="0">
                  <c:v>0.66666666666666663</c:v>
                </c:pt>
              </c:numCache>
            </c:numRef>
          </c:xVal>
          <c:yVal>
            <c:numRef>
              <c:f>Graficos!$C$350</c:f>
              <c:numCache>
                <c:formatCode>0.00</c:formatCode>
                <c:ptCount val="1"/>
                <c:pt idx="0">
                  <c:v>58.80735</c:v>
                </c:pt>
              </c:numCache>
            </c:numRef>
          </c:yVal>
          <c:bubbleSize>
            <c:numRef>
              <c:f>Graficos!$E$350</c:f>
              <c:numCache>
                <c:formatCode>0.0</c:formatCode>
                <c:ptCount val="1"/>
                <c:pt idx="0">
                  <c:v>58.80735</c:v>
                </c:pt>
              </c:numCache>
            </c:numRef>
          </c:bubbleSize>
          <c:bubble3D val="0"/>
          <c:extLst>
            <c:ext xmlns:c16="http://schemas.microsoft.com/office/drawing/2014/chart" uri="{C3380CC4-5D6E-409C-BE32-E72D297353CC}">
              <c16:uniqueId val="{0000000C-5D82-4586-9DE2-0E67F239ADD4}"/>
            </c:ext>
          </c:extLst>
        </c:ser>
        <c:ser>
          <c:idx val="13"/>
          <c:order val="13"/>
          <c:tx>
            <c:strRef>
              <c:f>Graficos!$A$351</c:f>
              <c:strCache>
                <c:ptCount val="1"/>
                <c:pt idx="0">
                  <c:v>Jantar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Graficos!$B$351</c:f>
              <c:numCache>
                <c:formatCode>h:mm:ss</c:formatCode>
                <c:ptCount val="1"/>
                <c:pt idx="0">
                  <c:v>0.8125</c:v>
                </c:pt>
              </c:numCache>
            </c:numRef>
          </c:xVal>
          <c:yVal>
            <c:numRef>
              <c:f>Graficos!$C$351</c:f>
              <c:numCache>
                <c:formatCode>0.00</c:formatCode>
                <c:ptCount val="1"/>
                <c:pt idx="0">
                  <c:v>280.70708400000001</c:v>
                </c:pt>
              </c:numCache>
            </c:numRef>
          </c:yVal>
          <c:bubbleSize>
            <c:numRef>
              <c:f>Graficos!$E$351</c:f>
              <c:numCache>
                <c:formatCode>0.0</c:formatCode>
                <c:ptCount val="1"/>
                <c:pt idx="0">
                  <c:v>280.70708400000001</c:v>
                </c:pt>
              </c:numCache>
            </c:numRef>
          </c:bubbleSize>
          <c:bubble3D val="0"/>
          <c:extLst>
            <c:ext xmlns:c16="http://schemas.microsoft.com/office/drawing/2014/chart" uri="{C3380CC4-5D6E-409C-BE32-E72D297353CC}">
              <c16:uniqueId val="{0000000D-5D82-4586-9DE2-0E67F239ADD4}"/>
            </c:ext>
          </c:extLst>
        </c:ser>
        <c:ser>
          <c:idx val="14"/>
          <c:order val="14"/>
          <c:tx>
            <c:strRef>
              <c:f>Graficos!$A$352</c:f>
              <c:strCache>
                <c:ptCount val="1"/>
                <c:pt idx="0">
                  <c:v>Jantar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Graficos!$B$352</c:f>
              <c:numCache>
                <c:formatCode>h:mm:ss</c:formatCode>
                <c:ptCount val="1"/>
                <c:pt idx="0">
                  <c:v>0.8125</c:v>
                </c:pt>
              </c:numCache>
            </c:numRef>
          </c:xVal>
          <c:yVal>
            <c:numRef>
              <c:f>Graficos!$C$352</c:f>
              <c:numCache>
                <c:formatCode>0.00</c:formatCode>
                <c:ptCount val="1"/>
                <c:pt idx="0">
                  <c:v>124.41021600000001</c:v>
                </c:pt>
              </c:numCache>
            </c:numRef>
          </c:yVal>
          <c:bubbleSize>
            <c:numRef>
              <c:f>Graficos!$E$352</c:f>
              <c:numCache>
                <c:formatCode>0.0</c:formatCode>
                <c:ptCount val="1"/>
                <c:pt idx="0">
                  <c:v>124.41021600000001</c:v>
                </c:pt>
              </c:numCache>
            </c:numRef>
          </c:bubbleSize>
          <c:bubble3D val="0"/>
          <c:extLst>
            <c:ext xmlns:c16="http://schemas.microsoft.com/office/drawing/2014/chart" uri="{C3380CC4-5D6E-409C-BE32-E72D297353CC}">
              <c16:uniqueId val="{0000000E-5D82-4586-9DE2-0E67F239ADD4}"/>
            </c:ext>
          </c:extLst>
        </c:ser>
        <c:ser>
          <c:idx val="15"/>
          <c:order val="15"/>
          <c:tx>
            <c:strRef>
              <c:f>Graficos!$A$353</c:f>
              <c:strCache>
                <c:ptCount val="1"/>
                <c:pt idx="0">
                  <c:v>Jantar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Graficos!$B$353</c:f>
              <c:numCache>
                <c:formatCode>h:mm:ss</c:formatCode>
                <c:ptCount val="1"/>
                <c:pt idx="0">
                  <c:v>0.8125</c:v>
                </c:pt>
              </c:numCache>
            </c:numRef>
          </c:xVal>
          <c:yVal>
            <c:numRef>
              <c:f>Graficos!$C$353</c:f>
              <c:numCache>
                <c:formatCode>0.00</c:formatCode>
                <c:ptCount val="1"/>
                <c:pt idx="0">
                  <c:v>117.6147</c:v>
                </c:pt>
              </c:numCache>
            </c:numRef>
          </c:yVal>
          <c:bubbleSize>
            <c:numRef>
              <c:f>Graficos!$E$353</c:f>
              <c:numCache>
                <c:formatCode>0.0</c:formatCode>
                <c:ptCount val="1"/>
                <c:pt idx="0">
                  <c:v>117.6147</c:v>
                </c:pt>
              </c:numCache>
            </c:numRef>
          </c:bubbleSize>
          <c:bubble3D val="0"/>
          <c:extLst>
            <c:ext xmlns:c16="http://schemas.microsoft.com/office/drawing/2014/chart" uri="{C3380CC4-5D6E-409C-BE32-E72D297353CC}">
              <c16:uniqueId val="{0000000F-5D82-4586-9DE2-0E67F239ADD4}"/>
            </c:ext>
          </c:extLst>
        </c:ser>
        <c:ser>
          <c:idx val="16"/>
          <c:order val="16"/>
          <c:tx>
            <c:strRef>
              <c:f>Graficos!$A$354</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Graficos!$B$354</c:f>
              <c:numCache>
                <c:formatCode>h:mm:ss</c:formatCode>
                <c:ptCount val="1"/>
                <c:pt idx="0">
                  <c:v>0</c:v>
                </c:pt>
              </c:numCache>
            </c:numRef>
          </c:xVal>
          <c:yVal>
            <c:numRef>
              <c:f>Graficos!$C$354</c:f>
              <c:numCache>
                <c:formatCode>0.00</c:formatCode>
                <c:ptCount val="1"/>
                <c:pt idx="0">
                  <c:v>0</c:v>
                </c:pt>
              </c:numCache>
            </c:numRef>
          </c:yVal>
          <c:bubbleSize>
            <c:numRef>
              <c:f>Graficos!$E$354</c:f>
              <c:numCache>
                <c:formatCode>0.0</c:formatCode>
                <c:ptCount val="1"/>
                <c:pt idx="0">
                  <c:v>0</c:v>
                </c:pt>
              </c:numCache>
            </c:numRef>
          </c:bubbleSize>
          <c:bubble3D val="0"/>
          <c:extLst>
            <c:ext xmlns:c16="http://schemas.microsoft.com/office/drawing/2014/chart" uri="{C3380CC4-5D6E-409C-BE32-E72D297353CC}">
              <c16:uniqueId val="{00000010-5D82-4586-9DE2-0E67F239ADD4}"/>
            </c:ext>
          </c:extLst>
        </c:ser>
        <c:ser>
          <c:idx val="17"/>
          <c:order val="17"/>
          <c:tx>
            <c:strRef>
              <c:f>Graficos!$A$355</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Graficos!$B$355</c:f>
              <c:numCache>
                <c:formatCode>h:mm:ss</c:formatCode>
                <c:ptCount val="1"/>
                <c:pt idx="0">
                  <c:v>0</c:v>
                </c:pt>
              </c:numCache>
            </c:numRef>
          </c:xVal>
          <c:yVal>
            <c:numRef>
              <c:f>Graficos!$C$355</c:f>
              <c:numCache>
                <c:formatCode>0.00</c:formatCode>
                <c:ptCount val="1"/>
                <c:pt idx="0">
                  <c:v>0</c:v>
                </c:pt>
              </c:numCache>
            </c:numRef>
          </c:yVal>
          <c:bubbleSize>
            <c:numRef>
              <c:f>Graficos!$E$355</c:f>
              <c:numCache>
                <c:formatCode>0.0</c:formatCode>
                <c:ptCount val="1"/>
                <c:pt idx="0">
                  <c:v>0</c:v>
                </c:pt>
              </c:numCache>
            </c:numRef>
          </c:bubbleSize>
          <c:bubble3D val="0"/>
          <c:extLst>
            <c:ext xmlns:c16="http://schemas.microsoft.com/office/drawing/2014/chart" uri="{C3380CC4-5D6E-409C-BE32-E72D297353CC}">
              <c16:uniqueId val="{00000011-5D82-4586-9DE2-0E67F239ADD4}"/>
            </c:ext>
          </c:extLst>
        </c:ser>
        <c:ser>
          <c:idx val="18"/>
          <c:order val="18"/>
          <c:tx>
            <c:strRef>
              <c:f>Graficos!$A$356</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Graficos!$B$356</c:f>
              <c:numCache>
                <c:formatCode>h:mm:ss</c:formatCode>
                <c:ptCount val="1"/>
                <c:pt idx="0">
                  <c:v>0</c:v>
                </c:pt>
              </c:numCache>
            </c:numRef>
          </c:xVal>
          <c:yVal>
            <c:numRef>
              <c:f>Graficos!$C$356</c:f>
              <c:numCache>
                <c:formatCode>0.00</c:formatCode>
                <c:ptCount val="1"/>
                <c:pt idx="0">
                  <c:v>0</c:v>
                </c:pt>
              </c:numCache>
            </c:numRef>
          </c:yVal>
          <c:bubbleSize>
            <c:numRef>
              <c:f>Graficos!$E$356</c:f>
              <c:numCache>
                <c:formatCode>0.0</c:formatCode>
                <c:ptCount val="1"/>
                <c:pt idx="0">
                  <c:v>0</c:v>
                </c:pt>
              </c:numCache>
            </c:numRef>
          </c:bubbleSize>
          <c:bubble3D val="0"/>
          <c:extLst>
            <c:ext xmlns:c16="http://schemas.microsoft.com/office/drawing/2014/chart" uri="{C3380CC4-5D6E-409C-BE32-E72D297353CC}">
              <c16:uniqueId val="{00000012-5D82-4586-9DE2-0E67F239ADD4}"/>
            </c:ext>
          </c:extLst>
        </c:ser>
        <c:ser>
          <c:idx val="19"/>
          <c:order val="19"/>
          <c:tx>
            <c:strRef>
              <c:f>Graficos!$A$357</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Graficos!$B$357</c:f>
              <c:numCache>
                <c:formatCode>h:mm:ss</c:formatCode>
                <c:ptCount val="1"/>
                <c:pt idx="0">
                  <c:v>1</c:v>
                </c:pt>
              </c:numCache>
            </c:numRef>
          </c:xVal>
          <c:yVal>
            <c:numRef>
              <c:f>Graficos!$C$357</c:f>
              <c:numCache>
                <c:formatCode>0.00</c:formatCode>
                <c:ptCount val="1"/>
              </c:numCache>
            </c:numRef>
          </c:yVal>
          <c:bubbleSize>
            <c:numRef>
              <c:f>Graficos!$E$357</c:f>
              <c:numCache>
                <c:formatCode>0.0</c:formatCode>
                <c:ptCount val="1"/>
              </c:numCache>
            </c:numRef>
          </c:bubbleSize>
          <c:bubble3D val="0"/>
          <c:extLst>
            <c:ext xmlns:c16="http://schemas.microsoft.com/office/drawing/2014/chart" uri="{C3380CC4-5D6E-409C-BE32-E72D297353CC}">
              <c16:uniqueId val="{00000013-5D82-4586-9DE2-0E67F239ADD4}"/>
            </c:ext>
          </c:extLst>
        </c:ser>
        <c:dLbls>
          <c:showLegendKey val="0"/>
          <c:showVal val="0"/>
          <c:showCatName val="0"/>
          <c:showSerName val="0"/>
          <c:showPercent val="0"/>
          <c:showBubbleSize val="0"/>
        </c:dLbls>
        <c:bubbleScale val="100"/>
        <c:showNegBubbles val="1"/>
        <c:axId val="704682187"/>
        <c:axId val="520081779"/>
      </c:bubbleChart>
      <c:valAx>
        <c:axId val="7046821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h:mm:ss" sourceLinked="1"/>
        <c:majorTickMark val="none"/>
        <c:minorTickMark val="none"/>
        <c:tickLblPos val="nextTo"/>
        <c:spPr>
          <a:ln/>
        </c:spPr>
        <c:txPr>
          <a:bodyPr rot="-3600000"/>
          <a:lstStyle/>
          <a:p>
            <a:pPr lvl="0">
              <a:defRPr b="0">
                <a:solidFill>
                  <a:srgbClr val="000000"/>
                </a:solidFill>
                <a:latin typeface="+mn-lt"/>
              </a:defRPr>
            </a:pPr>
            <a:endParaRPr lang="pt-BR"/>
          </a:p>
        </c:txPr>
        <c:crossAx val="520081779"/>
        <c:crosses val="autoZero"/>
        <c:crossBetween val="midCat"/>
      </c:valAx>
      <c:valAx>
        <c:axId val="520081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kcal</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704682187"/>
        <c:crosses val="autoZero"/>
        <c:crossBetween val="midCat"/>
      </c:valAx>
    </c:plotArea>
    <c:legend>
      <c:legendPos val="t"/>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manualLayout>
          <c:xMode val="edge"/>
          <c:yMode val="edge"/>
          <c:x val="3.1221020092735707E-2"/>
          <c:y val="5.000000000000001E-2"/>
          <c:w val="0.9375579598145285"/>
          <c:h val="0.9"/>
        </c:manualLayout>
      </c:layout>
      <c:bubbleChart>
        <c:varyColors val="1"/>
        <c:ser>
          <c:idx val="0"/>
          <c:order val="0"/>
          <c:tx>
            <c:strRef>
              <c:f>Graficos!$A$305</c:f>
              <c:strCache>
                <c:ptCount val="1"/>
                <c:pt idx="0">
                  <c:v>.</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Graficos!$B$305</c:f>
              <c:numCache>
                <c:formatCode>0.00</c:formatCode>
                <c:ptCount val="1"/>
              </c:numCache>
            </c:numRef>
          </c:xVal>
          <c:yVal>
            <c:numRef>
              <c:f>Graficos!$C$305</c:f>
              <c:numCache>
                <c:formatCode>0.00</c:formatCode>
                <c:ptCount val="1"/>
              </c:numCache>
            </c:numRef>
          </c:yVal>
          <c:bubbleSize>
            <c:numRef>
              <c:f>Graficos!$E$305</c:f>
              <c:numCache>
                <c:formatCode>0</c:formatCode>
                <c:ptCount val="1"/>
              </c:numCache>
            </c:numRef>
          </c:bubbleSize>
          <c:bubble3D val="0"/>
          <c:extLst>
            <c:ext xmlns:c16="http://schemas.microsoft.com/office/drawing/2014/chart" uri="{C3380CC4-5D6E-409C-BE32-E72D297353CC}">
              <c16:uniqueId val="{00000000-9F44-4F36-B2D8-9ADCA1A7C114}"/>
            </c:ext>
          </c:extLst>
        </c:ser>
        <c:ser>
          <c:idx val="1"/>
          <c:order val="1"/>
          <c:tx>
            <c:strRef>
              <c:f>Graficos!$A$306</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Graficos!$B$306</c:f>
              <c:numCache>
                <c:formatCode>0.00</c:formatCode>
                <c:ptCount val="1"/>
              </c:numCache>
            </c:numRef>
          </c:xVal>
          <c:yVal>
            <c:numRef>
              <c:f>Graficos!$C$306</c:f>
              <c:numCache>
                <c:formatCode>0.00</c:formatCode>
                <c:ptCount val="1"/>
              </c:numCache>
            </c:numRef>
          </c:yVal>
          <c:bubbleSize>
            <c:numRef>
              <c:f>Graficos!$E$306</c:f>
              <c:numCache>
                <c:formatCode>0</c:formatCode>
                <c:ptCount val="1"/>
              </c:numCache>
            </c:numRef>
          </c:bubbleSize>
          <c:bubble3D val="0"/>
          <c:extLst>
            <c:ext xmlns:c16="http://schemas.microsoft.com/office/drawing/2014/chart" uri="{C3380CC4-5D6E-409C-BE32-E72D297353CC}">
              <c16:uniqueId val="{00000001-9F44-4F36-B2D8-9ADCA1A7C114}"/>
            </c:ext>
          </c:extLst>
        </c:ser>
        <c:ser>
          <c:idx val="2"/>
          <c:order val="2"/>
          <c:tx>
            <c:strRef>
              <c:f>Graficos!$A$307</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Graficos!$B$307</c:f>
              <c:numCache>
                <c:formatCode>0.00</c:formatCode>
                <c:ptCount val="1"/>
              </c:numCache>
            </c:numRef>
          </c:xVal>
          <c:yVal>
            <c:numRef>
              <c:f>Graficos!$C$307</c:f>
              <c:numCache>
                <c:formatCode>0.00</c:formatCode>
                <c:ptCount val="1"/>
              </c:numCache>
            </c:numRef>
          </c:yVal>
          <c:bubbleSize>
            <c:numRef>
              <c:f>Graficos!$E$307</c:f>
              <c:numCache>
                <c:formatCode>0</c:formatCode>
                <c:ptCount val="1"/>
              </c:numCache>
            </c:numRef>
          </c:bubbleSize>
          <c:bubble3D val="0"/>
          <c:extLst>
            <c:ext xmlns:c16="http://schemas.microsoft.com/office/drawing/2014/chart" uri="{C3380CC4-5D6E-409C-BE32-E72D297353CC}">
              <c16:uniqueId val="{00000002-9F44-4F36-B2D8-9ADCA1A7C114}"/>
            </c:ext>
          </c:extLst>
        </c:ser>
        <c:ser>
          <c:idx val="3"/>
          <c:order val="3"/>
          <c:tx>
            <c:strRef>
              <c:f>Graficos!$A$308</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Graficos!$B$308</c:f>
              <c:numCache>
                <c:formatCode>0.00</c:formatCode>
                <c:ptCount val="1"/>
              </c:numCache>
            </c:numRef>
          </c:xVal>
          <c:yVal>
            <c:numRef>
              <c:f>Graficos!$C$308</c:f>
              <c:numCache>
                <c:formatCode>0.00</c:formatCode>
                <c:ptCount val="1"/>
              </c:numCache>
            </c:numRef>
          </c:yVal>
          <c:bubbleSize>
            <c:numRef>
              <c:f>Graficos!$E$308</c:f>
              <c:numCache>
                <c:formatCode>0</c:formatCode>
                <c:ptCount val="1"/>
              </c:numCache>
            </c:numRef>
          </c:bubbleSize>
          <c:bubble3D val="0"/>
          <c:extLst>
            <c:ext xmlns:c16="http://schemas.microsoft.com/office/drawing/2014/chart" uri="{C3380CC4-5D6E-409C-BE32-E72D297353CC}">
              <c16:uniqueId val="{00000003-9F44-4F36-B2D8-9ADCA1A7C114}"/>
            </c:ext>
          </c:extLst>
        </c:ser>
        <c:ser>
          <c:idx val="4"/>
          <c:order val="4"/>
          <c:tx>
            <c:strRef>
              <c:f>Graficos!$A$309</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Graficos!$B$309</c:f>
              <c:numCache>
                <c:formatCode>0.00</c:formatCode>
                <c:ptCount val="1"/>
              </c:numCache>
            </c:numRef>
          </c:xVal>
          <c:yVal>
            <c:numRef>
              <c:f>Graficos!$C$309</c:f>
              <c:numCache>
                <c:formatCode>0.00</c:formatCode>
                <c:ptCount val="1"/>
              </c:numCache>
            </c:numRef>
          </c:yVal>
          <c:bubbleSize>
            <c:numRef>
              <c:f>Graficos!$E$309</c:f>
              <c:numCache>
                <c:formatCode>0</c:formatCode>
                <c:ptCount val="1"/>
              </c:numCache>
            </c:numRef>
          </c:bubbleSize>
          <c:bubble3D val="0"/>
          <c:extLst>
            <c:ext xmlns:c16="http://schemas.microsoft.com/office/drawing/2014/chart" uri="{C3380CC4-5D6E-409C-BE32-E72D297353CC}">
              <c16:uniqueId val="{00000004-9F44-4F36-B2D8-9ADCA1A7C114}"/>
            </c:ext>
          </c:extLst>
        </c:ser>
        <c:ser>
          <c:idx val="5"/>
          <c:order val="5"/>
          <c:tx>
            <c:strRef>
              <c:f>Graficos!$A$310</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Graficos!$B$310</c:f>
              <c:numCache>
                <c:formatCode>0.00</c:formatCode>
                <c:ptCount val="1"/>
              </c:numCache>
            </c:numRef>
          </c:xVal>
          <c:yVal>
            <c:numRef>
              <c:f>Graficos!$C$310</c:f>
              <c:numCache>
                <c:formatCode>0.00</c:formatCode>
                <c:ptCount val="1"/>
              </c:numCache>
            </c:numRef>
          </c:yVal>
          <c:bubbleSize>
            <c:numRef>
              <c:f>Graficos!$E$310</c:f>
              <c:numCache>
                <c:formatCode>0</c:formatCode>
                <c:ptCount val="1"/>
              </c:numCache>
            </c:numRef>
          </c:bubbleSize>
          <c:bubble3D val="0"/>
          <c:extLst>
            <c:ext xmlns:c16="http://schemas.microsoft.com/office/drawing/2014/chart" uri="{C3380CC4-5D6E-409C-BE32-E72D297353CC}">
              <c16:uniqueId val="{00000005-9F44-4F36-B2D8-9ADCA1A7C114}"/>
            </c:ext>
          </c:extLst>
        </c:ser>
        <c:ser>
          <c:idx val="6"/>
          <c:order val="6"/>
          <c:tx>
            <c:strRef>
              <c:f>Graficos!$A$311</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Graficos!$B$311</c:f>
              <c:numCache>
                <c:formatCode>0.00</c:formatCode>
                <c:ptCount val="1"/>
                <c:pt idx="0">
                  <c:v>1.85</c:v>
                </c:pt>
              </c:numCache>
            </c:numRef>
          </c:xVal>
          <c:yVal>
            <c:numRef>
              <c:f>Graficos!$C$311</c:f>
              <c:numCache>
                <c:formatCode>0.00</c:formatCode>
                <c:ptCount val="1"/>
                <c:pt idx="0">
                  <c:v>12</c:v>
                </c:pt>
              </c:numCache>
            </c:numRef>
          </c:yVal>
          <c:bubbleSize>
            <c:numRef>
              <c:f>Graficos!$E$311</c:f>
              <c:numCache>
                <c:formatCode>0</c:formatCode>
                <c:ptCount val="1"/>
                <c:pt idx="0">
                  <c:v>3</c:v>
                </c:pt>
              </c:numCache>
            </c:numRef>
          </c:bubbleSize>
          <c:bubble3D val="0"/>
          <c:extLst>
            <c:ext xmlns:c16="http://schemas.microsoft.com/office/drawing/2014/chart" uri="{C3380CC4-5D6E-409C-BE32-E72D297353CC}">
              <c16:uniqueId val="{00000006-9F44-4F36-B2D8-9ADCA1A7C114}"/>
            </c:ext>
          </c:extLst>
        </c:ser>
        <c:ser>
          <c:idx val="7"/>
          <c:order val="7"/>
          <c:tx>
            <c:strRef>
              <c:f>Graficos!$A$312</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Graficos!$B$312</c:f>
              <c:numCache>
                <c:formatCode>0.00</c:formatCode>
                <c:ptCount val="1"/>
                <c:pt idx="0">
                  <c:v>2.2000000000000002</c:v>
                </c:pt>
              </c:numCache>
            </c:numRef>
          </c:xVal>
          <c:yVal>
            <c:numRef>
              <c:f>Graficos!$C$312</c:f>
              <c:numCache>
                <c:formatCode>0.00</c:formatCode>
                <c:ptCount val="1"/>
                <c:pt idx="0">
                  <c:v>8.5</c:v>
                </c:pt>
              </c:numCache>
            </c:numRef>
          </c:yVal>
          <c:bubbleSize>
            <c:numRef>
              <c:f>Graficos!$E$312</c:f>
              <c:numCache>
                <c:formatCode>0</c:formatCode>
                <c:ptCount val="1"/>
                <c:pt idx="0">
                  <c:v>3</c:v>
                </c:pt>
              </c:numCache>
            </c:numRef>
          </c:bubbleSize>
          <c:bubble3D val="0"/>
          <c:extLst>
            <c:ext xmlns:c16="http://schemas.microsoft.com/office/drawing/2014/chart" uri="{C3380CC4-5D6E-409C-BE32-E72D297353CC}">
              <c16:uniqueId val="{00000007-9F44-4F36-B2D8-9ADCA1A7C114}"/>
            </c:ext>
          </c:extLst>
        </c:ser>
        <c:ser>
          <c:idx val="8"/>
          <c:order val="8"/>
          <c:tx>
            <c:strRef>
              <c:f>Graficos!$A$313</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Graficos!$B$313</c:f>
              <c:numCache>
                <c:formatCode>0.00</c:formatCode>
                <c:ptCount val="1"/>
                <c:pt idx="0">
                  <c:v>1.8</c:v>
                </c:pt>
              </c:numCache>
            </c:numRef>
          </c:xVal>
          <c:yVal>
            <c:numRef>
              <c:f>Graficos!$C$313</c:f>
              <c:numCache>
                <c:formatCode>0.00</c:formatCode>
                <c:ptCount val="1"/>
                <c:pt idx="0">
                  <c:v>7.7</c:v>
                </c:pt>
              </c:numCache>
            </c:numRef>
          </c:yVal>
          <c:bubbleSize>
            <c:numRef>
              <c:f>Graficos!$E$313</c:f>
              <c:numCache>
                <c:formatCode>0</c:formatCode>
                <c:ptCount val="1"/>
                <c:pt idx="0">
                  <c:v>3</c:v>
                </c:pt>
              </c:numCache>
            </c:numRef>
          </c:bubbleSize>
          <c:bubble3D val="0"/>
          <c:extLst>
            <c:ext xmlns:c16="http://schemas.microsoft.com/office/drawing/2014/chart" uri="{C3380CC4-5D6E-409C-BE32-E72D297353CC}">
              <c16:uniqueId val="{00000008-9F44-4F36-B2D8-9ADCA1A7C114}"/>
            </c:ext>
          </c:extLst>
        </c:ser>
        <c:ser>
          <c:idx val="9"/>
          <c:order val="9"/>
          <c:tx>
            <c:strRef>
              <c:f>Graficos!$A$314</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Graficos!$B$314</c:f>
              <c:numCache>
                <c:formatCode>0.00</c:formatCode>
                <c:ptCount val="1"/>
                <c:pt idx="0">
                  <c:v>2.1</c:v>
                </c:pt>
              </c:numCache>
            </c:numRef>
          </c:xVal>
          <c:yVal>
            <c:numRef>
              <c:f>Graficos!$C$314</c:f>
              <c:numCache>
                <c:formatCode>0.00</c:formatCode>
                <c:ptCount val="1"/>
                <c:pt idx="0">
                  <c:v>4.5</c:v>
                </c:pt>
              </c:numCache>
            </c:numRef>
          </c:yVal>
          <c:bubbleSize>
            <c:numRef>
              <c:f>Graficos!$E$314</c:f>
              <c:numCache>
                <c:formatCode>0</c:formatCode>
                <c:ptCount val="1"/>
                <c:pt idx="0">
                  <c:v>3</c:v>
                </c:pt>
              </c:numCache>
            </c:numRef>
          </c:bubbleSize>
          <c:bubble3D val="0"/>
          <c:extLst>
            <c:ext xmlns:c16="http://schemas.microsoft.com/office/drawing/2014/chart" uri="{C3380CC4-5D6E-409C-BE32-E72D297353CC}">
              <c16:uniqueId val="{00000009-9F44-4F36-B2D8-9ADCA1A7C114}"/>
            </c:ext>
          </c:extLst>
        </c:ser>
        <c:ser>
          <c:idx val="10"/>
          <c:order val="10"/>
          <c:tx>
            <c:strRef>
              <c:f>Graficos!$A$315</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Graficos!$B$315</c:f>
              <c:numCache>
                <c:formatCode>0.00</c:formatCode>
                <c:ptCount val="1"/>
                <c:pt idx="0">
                  <c:v>0</c:v>
                </c:pt>
              </c:numCache>
            </c:numRef>
          </c:xVal>
          <c:yVal>
            <c:numRef>
              <c:f>Graficos!$C$315</c:f>
              <c:numCache>
                <c:formatCode>0.00</c:formatCode>
                <c:ptCount val="1"/>
                <c:pt idx="0">
                  <c:v>15</c:v>
                </c:pt>
              </c:numCache>
            </c:numRef>
          </c:yVal>
          <c:bubbleSize>
            <c:numRef>
              <c:f>Graficos!$E$315</c:f>
              <c:numCache>
                <c:formatCode>0</c:formatCode>
                <c:ptCount val="1"/>
                <c:pt idx="0">
                  <c:v>2</c:v>
                </c:pt>
              </c:numCache>
            </c:numRef>
          </c:bubbleSize>
          <c:bubble3D val="0"/>
          <c:extLst>
            <c:ext xmlns:c16="http://schemas.microsoft.com/office/drawing/2014/chart" uri="{C3380CC4-5D6E-409C-BE32-E72D297353CC}">
              <c16:uniqueId val="{0000000A-9F44-4F36-B2D8-9ADCA1A7C114}"/>
            </c:ext>
          </c:extLst>
        </c:ser>
        <c:ser>
          <c:idx val="11"/>
          <c:order val="11"/>
          <c:tx>
            <c:strRef>
              <c:f>Graficos!$A$316</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Graficos!$B$316</c:f>
              <c:numCache>
                <c:formatCode>0.00</c:formatCode>
                <c:ptCount val="1"/>
                <c:pt idx="0">
                  <c:v>5</c:v>
                </c:pt>
              </c:numCache>
            </c:numRef>
          </c:xVal>
          <c:yVal>
            <c:numRef>
              <c:f>Graficos!$C$316</c:f>
              <c:numCache>
                <c:formatCode>0.00</c:formatCode>
                <c:ptCount val="1"/>
                <c:pt idx="0">
                  <c:v>15</c:v>
                </c:pt>
              </c:numCache>
            </c:numRef>
          </c:yVal>
          <c:bubbleSize>
            <c:numRef>
              <c:f>Graficos!$E$316</c:f>
              <c:numCache>
                <c:formatCode>0</c:formatCode>
                <c:ptCount val="1"/>
                <c:pt idx="0">
                  <c:v>5</c:v>
                </c:pt>
              </c:numCache>
            </c:numRef>
          </c:bubbleSize>
          <c:bubble3D val="0"/>
          <c:extLst>
            <c:ext xmlns:c16="http://schemas.microsoft.com/office/drawing/2014/chart" uri="{C3380CC4-5D6E-409C-BE32-E72D297353CC}">
              <c16:uniqueId val="{0000000B-9F44-4F36-B2D8-9ADCA1A7C114}"/>
            </c:ext>
          </c:extLst>
        </c:ser>
        <c:ser>
          <c:idx val="12"/>
          <c:order val="12"/>
          <c:tx>
            <c:strRef>
              <c:f>Graficos!$A$317</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Graficos!$B$317</c:f>
              <c:numCache>
                <c:formatCode>0.00</c:formatCode>
                <c:ptCount val="1"/>
                <c:pt idx="0">
                  <c:v>4.4000000000000004</c:v>
                </c:pt>
              </c:numCache>
            </c:numRef>
          </c:xVal>
          <c:yVal>
            <c:numRef>
              <c:f>Graficos!$C$317</c:f>
              <c:numCache>
                <c:formatCode>0.00</c:formatCode>
                <c:ptCount val="1"/>
                <c:pt idx="0">
                  <c:v>12</c:v>
                </c:pt>
              </c:numCache>
            </c:numRef>
          </c:yVal>
          <c:bubbleSize>
            <c:numRef>
              <c:f>Graficos!$E$317</c:f>
              <c:numCache>
                <c:formatCode>0</c:formatCode>
                <c:ptCount val="1"/>
                <c:pt idx="0">
                  <c:v>3</c:v>
                </c:pt>
              </c:numCache>
            </c:numRef>
          </c:bubbleSize>
          <c:bubble3D val="0"/>
          <c:extLst>
            <c:ext xmlns:c16="http://schemas.microsoft.com/office/drawing/2014/chart" uri="{C3380CC4-5D6E-409C-BE32-E72D297353CC}">
              <c16:uniqueId val="{0000000C-9F44-4F36-B2D8-9ADCA1A7C114}"/>
            </c:ext>
          </c:extLst>
        </c:ser>
        <c:ser>
          <c:idx val="13"/>
          <c:order val="13"/>
          <c:tx>
            <c:strRef>
              <c:f>Graficos!$A$318</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Graficos!$B$318</c:f>
              <c:numCache>
                <c:formatCode>0.00</c:formatCode>
                <c:ptCount val="1"/>
                <c:pt idx="0">
                  <c:v>4.75</c:v>
                </c:pt>
              </c:numCache>
            </c:numRef>
          </c:xVal>
          <c:yVal>
            <c:numRef>
              <c:f>Graficos!$C$318</c:f>
              <c:numCache>
                <c:formatCode>0.00</c:formatCode>
                <c:ptCount val="1"/>
                <c:pt idx="0">
                  <c:v>8.5</c:v>
                </c:pt>
              </c:numCache>
            </c:numRef>
          </c:yVal>
          <c:bubbleSize>
            <c:numRef>
              <c:f>Graficos!$E$318</c:f>
              <c:numCache>
                <c:formatCode>0</c:formatCode>
                <c:ptCount val="1"/>
                <c:pt idx="0">
                  <c:v>3</c:v>
                </c:pt>
              </c:numCache>
            </c:numRef>
          </c:bubbleSize>
          <c:bubble3D val="0"/>
          <c:extLst>
            <c:ext xmlns:c16="http://schemas.microsoft.com/office/drawing/2014/chart" uri="{C3380CC4-5D6E-409C-BE32-E72D297353CC}">
              <c16:uniqueId val="{0000000D-9F44-4F36-B2D8-9ADCA1A7C114}"/>
            </c:ext>
          </c:extLst>
        </c:ser>
        <c:ser>
          <c:idx val="14"/>
          <c:order val="14"/>
          <c:tx>
            <c:strRef>
              <c:f>Graficos!$A$319</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Graficos!$B$319</c:f>
              <c:numCache>
                <c:formatCode>0.00</c:formatCode>
                <c:ptCount val="1"/>
                <c:pt idx="0">
                  <c:v>4.3499999999999996</c:v>
                </c:pt>
              </c:numCache>
            </c:numRef>
          </c:xVal>
          <c:yVal>
            <c:numRef>
              <c:f>Graficos!$C$319</c:f>
              <c:numCache>
                <c:formatCode>0.00</c:formatCode>
                <c:ptCount val="1"/>
                <c:pt idx="0">
                  <c:v>7.7</c:v>
                </c:pt>
              </c:numCache>
            </c:numRef>
          </c:yVal>
          <c:bubbleSize>
            <c:numRef>
              <c:f>Graficos!$E$319</c:f>
              <c:numCache>
                <c:formatCode>0</c:formatCode>
                <c:ptCount val="1"/>
                <c:pt idx="0">
                  <c:v>3</c:v>
                </c:pt>
              </c:numCache>
            </c:numRef>
          </c:bubbleSize>
          <c:bubble3D val="0"/>
          <c:extLst>
            <c:ext xmlns:c16="http://schemas.microsoft.com/office/drawing/2014/chart" uri="{C3380CC4-5D6E-409C-BE32-E72D297353CC}">
              <c16:uniqueId val="{0000000E-9F44-4F36-B2D8-9ADCA1A7C114}"/>
            </c:ext>
          </c:extLst>
        </c:ser>
        <c:ser>
          <c:idx val="15"/>
          <c:order val="15"/>
          <c:tx>
            <c:strRef>
              <c:f>Graficos!$A$320</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Graficos!$B$320</c:f>
              <c:numCache>
                <c:formatCode>0.00</c:formatCode>
                <c:ptCount val="1"/>
                <c:pt idx="0">
                  <c:v>4.6500000000000004</c:v>
                </c:pt>
              </c:numCache>
            </c:numRef>
          </c:xVal>
          <c:yVal>
            <c:numRef>
              <c:f>Graficos!$C$320</c:f>
              <c:numCache>
                <c:formatCode>0.00</c:formatCode>
                <c:ptCount val="1"/>
                <c:pt idx="0">
                  <c:v>4.5</c:v>
                </c:pt>
              </c:numCache>
            </c:numRef>
          </c:yVal>
          <c:bubbleSize>
            <c:numRef>
              <c:f>Graficos!$E$320</c:f>
              <c:numCache>
                <c:formatCode>0</c:formatCode>
                <c:ptCount val="1"/>
                <c:pt idx="0">
                  <c:v>3</c:v>
                </c:pt>
              </c:numCache>
            </c:numRef>
          </c:bubbleSize>
          <c:bubble3D val="0"/>
          <c:extLst>
            <c:ext xmlns:c16="http://schemas.microsoft.com/office/drawing/2014/chart" uri="{C3380CC4-5D6E-409C-BE32-E72D297353CC}">
              <c16:uniqueId val="{0000000F-9F44-4F36-B2D8-9ADCA1A7C114}"/>
            </c:ext>
          </c:extLst>
        </c:ser>
        <c:dLbls>
          <c:showLegendKey val="0"/>
          <c:showVal val="0"/>
          <c:showCatName val="0"/>
          <c:showSerName val="0"/>
          <c:showPercent val="0"/>
          <c:showBubbleSize val="0"/>
        </c:dLbls>
        <c:bubbleScale val="100"/>
        <c:showNegBubbles val="1"/>
        <c:axId val="19003456"/>
        <c:axId val="234891221"/>
      </c:bubbleChart>
      <c:valAx>
        <c:axId val="19003456"/>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234891221"/>
        <c:crosses val="autoZero"/>
        <c:crossBetween val="midCat"/>
      </c:valAx>
      <c:valAx>
        <c:axId val="23489122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19003456"/>
        <c:crosses val="autoZero"/>
        <c:crossBetween val="midCat"/>
      </c:valAx>
    </c:plotArea>
    <c:plotVisOnly val="1"/>
    <c:dispBlanksAs val="zero"/>
    <c:showDLblsOverMax val="1"/>
  </c:chart>
  <c:spPr>
    <a:solidFill>
      <a:srgbClr val="FFFFFF">
        <a:alpha val="0"/>
      </a:srgbClr>
    </a:solidFill>
  </c:sp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manualLayout>
          <c:xMode val="edge"/>
          <c:yMode val="edge"/>
          <c:x val="3.1221020092735707E-2"/>
          <c:y val="5.000000000000001E-2"/>
          <c:w val="0.9375579598145285"/>
          <c:h val="0.9"/>
        </c:manualLayout>
      </c:layout>
      <c:bubbleChart>
        <c:varyColors val="1"/>
        <c:ser>
          <c:idx val="0"/>
          <c:order val="0"/>
          <c:tx>
            <c:strRef>
              <c:f>Graficos!$A$305</c:f>
              <c:strCache>
                <c:ptCount val="1"/>
                <c:pt idx="0">
                  <c:v>.</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Graficos!$B$305</c:f>
              <c:numCache>
                <c:formatCode>0.00</c:formatCode>
                <c:ptCount val="1"/>
              </c:numCache>
            </c:numRef>
          </c:xVal>
          <c:yVal>
            <c:numRef>
              <c:f>Graficos!$C$305</c:f>
              <c:numCache>
                <c:formatCode>0.00</c:formatCode>
                <c:ptCount val="1"/>
              </c:numCache>
            </c:numRef>
          </c:yVal>
          <c:bubbleSize>
            <c:numRef>
              <c:f>Graficos!$E$305</c:f>
              <c:numCache>
                <c:formatCode>0</c:formatCode>
                <c:ptCount val="1"/>
              </c:numCache>
            </c:numRef>
          </c:bubbleSize>
          <c:bubble3D val="0"/>
          <c:extLst>
            <c:ext xmlns:c16="http://schemas.microsoft.com/office/drawing/2014/chart" uri="{C3380CC4-5D6E-409C-BE32-E72D297353CC}">
              <c16:uniqueId val="{00000000-1C7B-4F0F-927B-330C8C9173AC}"/>
            </c:ext>
          </c:extLst>
        </c:ser>
        <c:ser>
          <c:idx val="1"/>
          <c:order val="1"/>
          <c:tx>
            <c:strRef>
              <c:f>Graficos!$A$306</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Graficos!$B$306</c:f>
              <c:numCache>
                <c:formatCode>0.00</c:formatCode>
                <c:ptCount val="1"/>
              </c:numCache>
            </c:numRef>
          </c:xVal>
          <c:yVal>
            <c:numRef>
              <c:f>Graficos!$C$306</c:f>
              <c:numCache>
                <c:formatCode>0.00</c:formatCode>
                <c:ptCount val="1"/>
              </c:numCache>
            </c:numRef>
          </c:yVal>
          <c:bubbleSize>
            <c:numRef>
              <c:f>Graficos!$E$306</c:f>
              <c:numCache>
                <c:formatCode>0</c:formatCode>
                <c:ptCount val="1"/>
              </c:numCache>
            </c:numRef>
          </c:bubbleSize>
          <c:bubble3D val="0"/>
          <c:extLst>
            <c:ext xmlns:c16="http://schemas.microsoft.com/office/drawing/2014/chart" uri="{C3380CC4-5D6E-409C-BE32-E72D297353CC}">
              <c16:uniqueId val="{00000001-1C7B-4F0F-927B-330C8C9173AC}"/>
            </c:ext>
          </c:extLst>
        </c:ser>
        <c:ser>
          <c:idx val="2"/>
          <c:order val="2"/>
          <c:tx>
            <c:strRef>
              <c:f>Graficos!$A$307</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Graficos!$B$307</c:f>
              <c:numCache>
                <c:formatCode>0.00</c:formatCode>
                <c:ptCount val="1"/>
              </c:numCache>
            </c:numRef>
          </c:xVal>
          <c:yVal>
            <c:numRef>
              <c:f>Graficos!$C$307</c:f>
              <c:numCache>
                <c:formatCode>0.00</c:formatCode>
                <c:ptCount val="1"/>
              </c:numCache>
            </c:numRef>
          </c:yVal>
          <c:bubbleSize>
            <c:numRef>
              <c:f>Graficos!$E$307</c:f>
              <c:numCache>
                <c:formatCode>0</c:formatCode>
                <c:ptCount val="1"/>
              </c:numCache>
            </c:numRef>
          </c:bubbleSize>
          <c:bubble3D val="0"/>
          <c:extLst>
            <c:ext xmlns:c16="http://schemas.microsoft.com/office/drawing/2014/chart" uri="{C3380CC4-5D6E-409C-BE32-E72D297353CC}">
              <c16:uniqueId val="{00000002-1C7B-4F0F-927B-330C8C9173AC}"/>
            </c:ext>
          </c:extLst>
        </c:ser>
        <c:ser>
          <c:idx val="3"/>
          <c:order val="3"/>
          <c:tx>
            <c:strRef>
              <c:f>Graficos!$A$308</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Graficos!$B$308</c:f>
              <c:numCache>
                <c:formatCode>0.00</c:formatCode>
                <c:ptCount val="1"/>
              </c:numCache>
            </c:numRef>
          </c:xVal>
          <c:yVal>
            <c:numRef>
              <c:f>Graficos!$C$308</c:f>
              <c:numCache>
                <c:formatCode>0.00</c:formatCode>
                <c:ptCount val="1"/>
              </c:numCache>
            </c:numRef>
          </c:yVal>
          <c:bubbleSize>
            <c:numRef>
              <c:f>Graficos!$E$308</c:f>
              <c:numCache>
                <c:formatCode>0</c:formatCode>
                <c:ptCount val="1"/>
              </c:numCache>
            </c:numRef>
          </c:bubbleSize>
          <c:bubble3D val="0"/>
          <c:extLst>
            <c:ext xmlns:c16="http://schemas.microsoft.com/office/drawing/2014/chart" uri="{C3380CC4-5D6E-409C-BE32-E72D297353CC}">
              <c16:uniqueId val="{00000003-1C7B-4F0F-927B-330C8C9173AC}"/>
            </c:ext>
          </c:extLst>
        </c:ser>
        <c:ser>
          <c:idx val="4"/>
          <c:order val="4"/>
          <c:tx>
            <c:strRef>
              <c:f>Graficos!$A$309</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Graficos!$B$309</c:f>
              <c:numCache>
                <c:formatCode>0.00</c:formatCode>
                <c:ptCount val="1"/>
              </c:numCache>
            </c:numRef>
          </c:xVal>
          <c:yVal>
            <c:numRef>
              <c:f>Graficos!$C$309</c:f>
              <c:numCache>
                <c:formatCode>0.00</c:formatCode>
                <c:ptCount val="1"/>
              </c:numCache>
            </c:numRef>
          </c:yVal>
          <c:bubbleSize>
            <c:numRef>
              <c:f>Graficos!$E$309</c:f>
              <c:numCache>
                <c:formatCode>0</c:formatCode>
                <c:ptCount val="1"/>
              </c:numCache>
            </c:numRef>
          </c:bubbleSize>
          <c:bubble3D val="0"/>
          <c:extLst>
            <c:ext xmlns:c16="http://schemas.microsoft.com/office/drawing/2014/chart" uri="{C3380CC4-5D6E-409C-BE32-E72D297353CC}">
              <c16:uniqueId val="{00000004-1C7B-4F0F-927B-330C8C9173AC}"/>
            </c:ext>
          </c:extLst>
        </c:ser>
        <c:ser>
          <c:idx val="5"/>
          <c:order val="5"/>
          <c:tx>
            <c:strRef>
              <c:f>Graficos!$A$310</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Graficos!$B$310</c:f>
              <c:numCache>
                <c:formatCode>0.00</c:formatCode>
                <c:ptCount val="1"/>
              </c:numCache>
            </c:numRef>
          </c:xVal>
          <c:yVal>
            <c:numRef>
              <c:f>Graficos!$C$310</c:f>
              <c:numCache>
                <c:formatCode>0.00</c:formatCode>
                <c:ptCount val="1"/>
              </c:numCache>
            </c:numRef>
          </c:yVal>
          <c:bubbleSize>
            <c:numRef>
              <c:f>Graficos!$E$310</c:f>
              <c:numCache>
                <c:formatCode>0</c:formatCode>
                <c:ptCount val="1"/>
              </c:numCache>
            </c:numRef>
          </c:bubbleSize>
          <c:bubble3D val="0"/>
          <c:extLst>
            <c:ext xmlns:c16="http://schemas.microsoft.com/office/drawing/2014/chart" uri="{C3380CC4-5D6E-409C-BE32-E72D297353CC}">
              <c16:uniqueId val="{00000005-1C7B-4F0F-927B-330C8C9173AC}"/>
            </c:ext>
          </c:extLst>
        </c:ser>
        <c:ser>
          <c:idx val="6"/>
          <c:order val="6"/>
          <c:tx>
            <c:strRef>
              <c:f>Graficos!$A$311</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Graficos!$B$311</c:f>
              <c:numCache>
                <c:formatCode>0.00</c:formatCode>
                <c:ptCount val="1"/>
                <c:pt idx="0">
                  <c:v>1.85</c:v>
                </c:pt>
              </c:numCache>
            </c:numRef>
          </c:xVal>
          <c:yVal>
            <c:numRef>
              <c:f>Graficos!$C$311</c:f>
              <c:numCache>
                <c:formatCode>0.00</c:formatCode>
                <c:ptCount val="1"/>
                <c:pt idx="0">
                  <c:v>12</c:v>
                </c:pt>
              </c:numCache>
            </c:numRef>
          </c:yVal>
          <c:bubbleSize>
            <c:numRef>
              <c:f>Graficos!$E$311</c:f>
              <c:numCache>
                <c:formatCode>0</c:formatCode>
                <c:ptCount val="1"/>
                <c:pt idx="0">
                  <c:v>3</c:v>
                </c:pt>
              </c:numCache>
            </c:numRef>
          </c:bubbleSize>
          <c:bubble3D val="0"/>
          <c:extLst>
            <c:ext xmlns:c16="http://schemas.microsoft.com/office/drawing/2014/chart" uri="{C3380CC4-5D6E-409C-BE32-E72D297353CC}">
              <c16:uniqueId val="{00000006-1C7B-4F0F-927B-330C8C9173AC}"/>
            </c:ext>
          </c:extLst>
        </c:ser>
        <c:ser>
          <c:idx val="7"/>
          <c:order val="7"/>
          <c:tx>
            <c:strRef>
              <c:f>Graficos!$A$312</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Graficos!$B$312</c:f>
              <c:numCache>
                <c:formatCode>0.00</c:formatCode>
                <c:ptCount val="1"/>
                <c:pt idx="0">
                  <c:v>2.2000000000000002</c:v>
                </c:pt>
              </c:numCache>
            </c:numRef>
          </c:xVal>
          <c:yVal>
            <c:numRef>
              <c:f>Graficos!$C$312</c:f>
              <c:numCache>
                <c:formatCode>0.00</c:formatCode>
                <c:ptCount val="1"/>
                <c:pt idx="0">
                  <c:v>8.5</c:v>
                </c:pt>
              </c:numCache>
            </c:numRef>
          </c:yVal>
          <c:bubbleSize>
            <c:numRef>
              <c:f>Graficos!$E$312</c:f>
              <c:numCache>
                <c:formatCode>0</c:formatCode>
                <c:ptCount val="1"/>
                <c:pt idx="0">
                  <c:v>3</c:v>
                </c:pt>
              </c:numCache>
            </c:numRef>
          </c:bubbleSize>
          <c:bubble3D val="0"/>
          <c:extLst>
            <c:ext xmlns:c16="http://schemas.microsoft.com/office/drawing/2014/chart" uri="{C3380CC4-5D6E-409C-BE32-E72D297353CC}">
              <c16:uniqueId val="{00000007-1C7B-4F0F-927B-330C8C9173AC}"/>
            </c:ext>
          </c:extLst>
        </c:ser>
        <c:ser>
          <c:idx val="8"/>
          <c:order val="8"/>
          <c:tx>
            <c:strRef>
              <c:f>Graficos!$A$313</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Graficos!$B$313</c:f>
              <c:numCache>
                <c:formatCode>0.00</c:formatCode>
                <c:ptCount val="1"/>
                <c:pt idx="0">
                  <c:v>1.8</c:v>
                </c:pt>
              </c:numCache>
            </c:numRef>
          </c:xVal>
          <c:yVal>
            <c:numRef>
              <c:f>Graficos!$C$313</c:f>
              <c:numCache>
                <c:formatCode>0.00</c:formatCode>
                <c:ptCount val="1"/>
                <c:pt idx="0">
                  <c:v>7.7</c:v>
                </c:pt>
              </c:numCache>
            </c:numRef>
          </c:yVal>
          <c:bubbleSize>
            <c:numRef>
              <c:f>Graficos!$E$313</c:f>
              <c:numCache>
                <c:formatCode>0</c:formatCode>
                <c:ptCount val="1"/>
                <c:pt idx="0">
                  <c:v>3</c:v>
                </c:pt>
              </c:numCache>
            </c:numRef>
          </c:bubbleSize>
          <c:bubble3D val="0"/>
          <c:extLst>
            <c:ext xmlns:c16="http://schemas.microsoft.com/office/drawing/2014/chart" uri="{C3380CC4-5D6E-409C-BE32-E72D297353CC}">
              <c16:uniqueId val="{00000008-1C7B-4F0F-927B-330C8C9173AC}"/>
            </c:ext>
          </c:extLst>
        </c:ser>
        <c:ser>
          <c:idx val="9"/>
          <c:order val="9"/>
          <c:tx>
            <c:strRef>
              <c:f>Graficos!$A$314</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Graficos!$B$314</c:f>
              <c:numCache>
                <c:formatCode>0.00</c:formatCode>
                <c:ptCount val="1"/>
                <c:pt idx="0">
                  <c:v>2.1</c:v>
                </c:pt>
              </c:numCache>
            </c:numRef>
          </c:xVal>
          <c:yVal>
            <c:numRef>
              <c:f>Graficos!$C$314</c:f>
              <c:numCache>
                <c:formatCode>0.00</c:formatCode>
                <c:ptCount val="1"/>
                <c:pt idx="0">
                  <c:v>4.5</c:v>
                </c:pt>
              </c:numCache>
            </c:numRef>
          </c:yVal>
          <c:bubbleSize>
            <c:numRef>
              <c:f>Graficos!$E$314</c:f>
              <c:numCache>
                <c:formatCode>0</c:formatCode>
                <c:ptCount val="1"/>
                <c:pt idx="0">
                  <c:v>3</c:v>
                </c:pt>
              </c:numCache>
            </c:numRef>
          </c:bubbleSize>
          <c:bubble3D val="0"/>
          <c:extLst>
            <c:ext xmlns:c16="http://schemas.microsoft.com/office/drawing/2014/chart" uri="{C3380CC4-5D6E-409C-BE32-E72D297353CC}">
              <c16:uniqueId val="{00000009-1C7B-4F0F-927B-330C8C9173AC}"/>
            </c:ext>
          </c:extLst>
        </c:ser>
        <c:ser>
          <c:idx val="10"/>
          <c:order val="10"/>
          <c:tx>
            <c:strRef>
              <c:f>Graficos!$A$315</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Graficos!$B$315</c:f>
              <c:numCache>
                <c:formatCode>0.00</c:formatCode>
                <c:ptCount val="1"/>
                <c:pt idx="0">
                  <c:v>0</c:v>
                </c:pt>
              </c:numCache>
            </c:numRef>
          </c:xVal>
          <c:yVal>
            <c:numRef>
              <c:f>Graficos!$C$315</c:f>
              <c:numCache>
                <c:formatCode>0.00</c:formatCode>
                <c:ptCount val="1"/>
                <c:pt idx="0">
                  <c:v>15</c:v>
                </c:pt>
              </c:numCache>
            </c:numRef>
          </c:yVal>
          <c:bubbleSize>
            <c:numRef>
              <c:f>Graficos!$E$315</c:f>
              <c:numCache>
                <c:formatCode>0</c:formatCode>
                <c:ptCount val="1"/>
                <c:pt idx="0">
                  <c:v>2</c:v>
                </c:pt>
              </c:numCache>
            </c:numRef>
          </c:bubbleSize>
          <c:bubble3D val="0"/>
          <c:extLst>
            <c:ext xmlns:c16="http://schemas.microsoft.com/office/drawing/2014/chart" uri="{C3380CC4-5D6E-409C-BE32-E72D297353CC}">
              <c16:uniqueId val="{0000000A-1C7B-4F0F-927B-330C8C9173AC}"/>
            </c:ext>
          </c:extLst>
        </c:ser>
        <c:ser>
          <c:idx val="11"/>
          <c:order val="11"/>
          <c:tx>
            <c:strRef>
              <c:f>Graficos!$A$316</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Graficos!$B$316</c:f>
              <c:numCache>
                <c:formatCode>0.00</c:formatCode>
                <c:ptCount val="1"/>
                <c:pt idx="0">
                  <c:v>5</c:v>
                </c:pt>
              </c:numCache>
            </c:numRef>
          </c:xVal>
          <c:yVal>
            <c:numRef>
              <c:f>Graficos!$C$316</c:f>
              <c:numCache>
                <c:formatCode>0.00</c:formatCode>
                <c:ptCount val="1"/>
                <c:pt idx="0">
                  <c:v>15</c:v>
                </c:pt>
              </c:numCache>
            </c:numRef>
          </c:yVal>
          <c:bubbleSize>
            <c:numRef>
              <c:f>Graficos!$E$316</c:f>
              <c:numCache>
                <c:formatCode>0</c:formatCode>
                <c:ptCount val="1"/>
                <c:pt idx="0">
                  <c:v>5</c:v>
                </c:pt>
              </c:numCache>
            </c:numRef>
          </c:bubbleSize>
          <c:bubble3D val="0"/>
          <c:extLst>
            <c:ext xmlns:c16="http://schemas.microsoft.com/office/drawing/2014/chart" uri="{C3380CC4-5D6E-409C-BE32-E72D297353CC}">
              <c16:uniqueId val="{0000000B-1C7B-4F0F-927B-330C8C9173AC}"/>
            </c:ext>
          </c:extLst>
        </c:ser>
        <c:ser>
          <c:idx val="12"/>
          <c:order val="12"/>
          <c:tx>
            <c:strRef>
              <c:f>Graficos!$A$317</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Graficos!$B$317</c:f>
              <c:numCache>
                <c:formatCode>0.00</c:formatCode>
                <c:ptCount val="1"/>
                <c:pt idx="0">
                  <c:v>4.4000000000000004</c:v>
                </c:pt>
              </c:numCache>
            </c:numRef>
          </c:xVal>
          <c:yVal>
            <c:numRef>
              <c:f>Graficos!$C$317</c:f>
              <c:numCache>
                <c:formatCode>0.00</c:formatCode>
                <c:ptCount val="1"/>
                <c:pt idx="0">
                  <c:v>12</c:v>
                </c:pt>
              </c:numCache>
            </c:numRef>
          </c:yVal>
          <c:bubbleSize>
            <c:numRef>
              <c:f>Graficos!$E$317</c:f>
              <c:numCache>
                <c:formatCode>0</c:formatCode>
                <c:ptCount val="1"/>
                <c:pt idx="0">
                  <c:v>3</c:v>
                </c:pt>
              </c:numCache>
            </c:numRef>
          </c:bubbleSize>
          <c:bubble3D val="0"/>
          <c:extLst>
            <c:ext xmlns:c16="http://schemas.microsoft.com/office/drawing/2014/chart" uri="{C3380CC4-5D6E-409C-BE32-E72D297353CC}">
              <c16:uniqueId val="{0000000C-1C7B-4F0F-927B-330C8C9173AC}"/>
            </c:ext>
          </c:extLst>
        </c:ser>
        <c:ser>
          <c:idx val="13"/>
          <c:order val="13"/>
          <c:tx>
            <c:strRef>
              <c:f>Graficos!$A$318</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Graficos!$B$318</c:f>
              <c:numCache>
                <c:formatCode>0.00</c:formatCode>
                <c:ptCount val="1"/>
                <c:pt idx="0">
                  <c:v>4.75</c:v>
                </c:pt>
              </c:numCache>
            </c:numRef>
          </c:xVal>
          <c:yVal>
            <c:numRef>
              <c:f>Graficos!$C$318</c:f>
              <c:numCache>
                <c:formatCode>0.00</c:formatCode>
                <c:ptCount val="1"/>
                <c:pt idx="0">
                  <c:v>8.5</c:v>
                </c:pt>
              </c:numCache>
            </c:numRef>
          </c:yVal>
          <c:bubbleSize>
            <c:numRef>
              <c:f>Graficos!$E$318</c:f>
              <c:numCache>
                <c:formatCode>0</c:formatCode>
                <c:ptCount val="1"/>
                <c:pt idx="0">
                  <c:v>3</c:v>
                </c:pt>
              </c:numCache>
            </c:numRef>
          </c:bubbleSize>
          <c:bubble3D val="0"/>
          <c:extLst>
            <c:ext xmlns:c16="http://schemas.microsoft.com/office/drawing/2014/chart" uri="{C3380CC4-5D6E-409C-BE32-E72D297353CC}">
              <c16:uniqueId val="{0000000D-1C7B-4F0F-927B-330C8C9173AC}"/>
            </c:ext>
          </c:extLst>
        </c:ser>
        <c:ser>
          <c:idx val="14"/>
          <c:order val="14"/>
          <c:tx>
            <c:strRef>
              <c:f>Graficos!$A$319</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Graficos!$B$319</c:f>
              <c:numCache>
                <c:formatCode>0.00</c:formatCode>
                <c:ptCount val="1"/>
                <c:pt idx="0">
                  <c:v>4.3499999999999996</c:v>
                </c:pt>
              </c:numCache>
            </c:numRef>
          </c:xVal>
          <c:yVal>
            <c:numRef>
              <c:f>Graficos!$C$319</c:f>
              <c:numCache>
                <c:formatCode>0.00</c:formatCode>
                <c:ptCount val="1"/>
                <c:pt idx="0">
                  <c:v>7.7</c:v>
                </c:pt>
              </c:numCache>
            </c:numRef>
          </c:yVal>
          <c:bubbleSize>
            <c:numRef>
              <c:f>Graficos!$E$319</c:f>
              <c:numCache>
                <c:formatCode>0</c:formatCode>
                <c:ptCount val="1"/>
                <c:pt idx="0">
                  <c:v>3</c:v>
                </c:pt>
              </c:numCache>
            </c:numRef>
          </c:bubbleSize>
          <c:bubble3D val="0"/>
          <c:extLst>
            <c:ext xmlns:c16="http://schemas.microsoft.com/office/drawing/2014/chart" uri="{C3380CC4-5D6E-409C-BE32-E72D297353CC}">
              <c16:uniqueId val="{0000000E-1C7B-4F0F-927B-330C8C9173AC}"/>
            </c:ext>
          </c:extLst>
        </c:ser>
        <c:ser>
          <c:idx val="15"/>
          <c:order val="15"/>
          <c:tx>
            <c:strRef>
              <c:f>Graficos!$A$320</c:f>
              <c:strCache>
                <c:ptCount val="1"/>
                <c:pt idx="0">
                  <c:v>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Graficos!$B$320</c:f>
              <c:numCache>
                <c:formatCode>0.00</c:formatCode>
                <c:ptCount val="1"/>
                <c:pt idx="0">
                  <c:v>4.6500000000000004</c:v>
                </c:pt>
              </c:numCache>
            </c:numRef>
          </c:xVal>
          <c:yVal>
            <c:numRef>
              <c:f>Graficos!$C$320</c:f>
              <c:numCache>
                <c:formatCode>0.00</c:formatCode>
                <c:ptCount val="1"/>
                <c:pt idx="0">
                  <c:v>4.5</c:v>
                </c:pt>
              </c:numCache>
            </c:numRef>
          </c:yVal>
          <c:bubbleSize>
            <c:numRef>
              <c:f>Graficos!$E$320</c:f>
              <c:numCache>
                <c:formatCode>0</c:formatCode>
                <c:ptCount val="1"/>
                <c:pt idx="0">
                  <c:v>3</c:v>
                </c:pt>
              </c:numCache>
            </c:numRef>
          </c:bubbleSize>
          <c:bubble3D val="0"/>
          <c:extLst>
            <c:ext xmlns:c16="http://schemas.microsoft.com/office/drawing/2014/chart" uri="{C3380CC4-5D6E-409C-BE32-E72D297353CC}">
              <c16:uniqueId val="{0000000F-1C7B-4F0F-927B-330C8C9173AC}"/>
            </c:ext>
          </c:extLst>
        </c:ser>
        <c:dLbls>
          <c:showLegendKey val="0"/>
          <c:showVal val="0"/>
          <c:showCatName val="0"/>
          <c:showSerName val="0"/>
          <c:showPercent val="0"/>
          <c:showBubbleSize val="0"/>
        </c:dLbls>
        <c:bubbleScale val="100"/>
        <c:showNegBubbles val="1"/>
        <c:axId val="925414476"/>
        <c:axId val="2117920790"/>
      </c:bubbleChart>
      <c:valAx>
        <c:axId val="925414476"/>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2117920790"/>
        <c:crosses val="autoZero"/>
        <c:crossBetween val="midCat"/>
      </c:valAx>
      <c:valAx>
        <c:axId val="211792079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925414476"/>
        <c:crosses val="autoZero"/>
        <c:crossBetween val="midCat"/>
      </c:valAx>
    </c:plotArea>
    <c:plotVisOnly val="1"/>
    <c:dispBlanksAs val="zero"/>
    <c:showDLblsOverMax val="1"/>
  </c:chart>
  <c:spPr>
    <a:solidFill>
      <a:srgbClr val="FFFFFF">
        <a:alpha val="0"/>
      </a:srgbClr>
    </a:solidFill>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26" Type="http://schemas.openxmlformats.org/officeDocument/2006/relationships/image" Target="../media/image21.png"/><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image" Target="../media/image20.png"/><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29" Type="http://schemas.openxmlformats.org/officeDocument/2006/relationships/image" Target="../media/image24.pn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image" Target="../media/image19.png"/><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image" Target="../media/image18.png"/><Relationship Id="rId28" Type="http://schemas.openxmlformats.org/officeDocument/2006/relationships/image" Target="../media/image23.jpg"/><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image" Target="../media/image17.jpg"/><Relationship Id="rId27" Type="http://schemas.openxmlformats.org/officeDocument/2006/relationships/image" Target="../media/image22.jpg"/></Relationships>
</file>

<file path=xl/drawings/_rels/drawing4.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5" Type="http://schemas.openxmlformats.org/officeDocument/2006/relationships/image" Target="../media/image3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s>
</file>

<file path=xl/drawings/_rels/drawing5.xml.rels><?xml version="1.0" encoding="UTF-8" standalone="yes"?>
<Relationships xmlns="http://schemas.openxmlformats.org/package/2006/relationships"><Relationship Id="rId1" Type="http://schemas.openxmlformats.org/officeDocument/2006/relationships/image" Target="../media/image40.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171450</xdr:rowOff>
    </xdr:from>
    <xdr:ext cx="3076575" cy="2762250"/>
    <xdr:graphicFrame macro="">
      <xdr:nvGraphicFramePr>
        <xdr:cNvPr id="2" name="Chart 1" title="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25</xdr:row>
      <xdr:rowOff>161925</xdr:rowOff>
    </xdr:from>
    <xdr:ext cx="6134100" cy="2762250"/>
    <xdr:graphicFrame macro="">
      <xdr:nvGraphicFramePr>
        <xdr:cNvPr id="3" name="Chart 2" title="Gráfico">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371475</xdr:colOff>
      <xdr:row>90</xdr:row>
      <xdr:rowOff>19050</xdr:rowOff>
    </xdr:from>
    <xdr:ext cx="3057525" cy="2552700"/>
    <xdr:graphicFrame macro="">
      <xdr:nvGraphicFramePr>
        <xdr:cNvPr id="4" name="Chart 3" title="Gráfico">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95</xdr:row>
      <xdr:rowOff>19050</xdr:rowOff>
    </xdr:from>
    <xdr:ext cx="2771775" cy="1552575"/>
    <xdr:graphicFrame macro="">
      <xdr:nvGraphicFramePr>
        <xdr:cNvPr id="5" name="Chart 4" title="Gráfico">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0</xdr:colOff>
      <xdr:row>108</xdr:row>
      <xdr:rowOff>180975</xdr:rowOff>
    </xdr:from>
    <xdr:ext cx="6067425" cy="2771775"/>
    <xdr:graphicFrame macro="">
      <xdr:nvGraphicFramePr>
        <xdr:cNvPr id="6" name="Chart 5" title="Gráfico">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0</xdr:colOff>
      <xdr:row>147</xdr:row>
      <xdr:rowOff>200025</xdr:rowOff>
    </xdr:from>
    <xdr:ext cx="6124575" cy="3352800"/>
    <xdr:graphicFrame macro="">
      <xdr:nvGraphicFramePr>
        <xdr:cNvPr id="7" name="Chart 6" title="Gráfico">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1685925" cy="1800225"/>
    <xdr:pic>
      <xdr:nvPicPr>
        <xdr:cNvPr id="2" name="image15.png" title="Imagem">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xdr:row>
      <xdr:rowOff>0</xdr:rowOff>
    </xdr:from>
    <xdr:ext cx="457200" cy="1800225"/>
    <xdr:pic>
      <xdr:nvPicPr>
        <xdr:cNvPr id="3" name="image12.png" title="Imagem">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4</xdr:row>
      <xdr:rowOff>0</xdr:rowOff>
    </xdr:from>
    <xdr:ext cx="2238375" cy="1609725"/>
    <xdr:pic>
      <xdr:nvPicPr>
        <xdr:cNvPr id="4" name="image17.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4</xdr:row>
      <xdr:rowOff>0</xdr:rowOff>
    </xdr:from>
    <xdr:ext cx="2238375" cy="1609725"/>
    <xdr:pic>
      <xdr:nvPicPr>
        <xdr:cNvPr id="5" name="image10.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5</xdr:row>
      <xdr:rowOff>0</xdr:rowOff>
    </xdr:from>
    <xdr:ext cx="1685925" cy="1800225"/>
    <xdr:pic>
      <xdr:nvPicPr>
        <xdr:cNvPr id="6" name="image22.png" title="Imagem">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0</xdr:colOff>
      <xdr:row>5</xdr:row>
      <xdr:rowOff>0</xdr:rowOff>
    </xdr:from>
    <xdr:ext cx="457200" cy="1800225"/>
    <xdr:pic>
      <xdr:nvPicPr>
        <xdr:cNvPr id="7" name="image4.png" title="Imagem">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0</xdr:colOff>
      <xdr:row>5</xdr:row>
      <xdr:rowOff>0</xdr:rowOff>
    </xdr:from>
    <xdr:ext cx="2238375" cy="1571625"/>
    <xdr:pic>
      <xdr:nvPicPr>
        <xdr:cNvPr id="8" name="image6.pn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10</xdr:col>
      <xdr:colOff>0</xdr:colOff>
      <xdr:row>5</xdr:row>
      <xdr:rowOff>0</xdr:rowOff>
    </xdr:from>
    <xdr:ext cx="2238375" cy="1600200"/>
    <xdr:pic>
      <xdr:nvPicPr>
        <xdr:cNvPr id="9" name="image11.png">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6</xdr:row>
      <xdr:rowOff>0</xdr:rowOff>
    </xdr:from>
    <xdr:ext cx="1676400" cy="1800225"/>
    <xdr:pic>
      <xdr:nvPicPr>
        <xdr:cNvPr id="10" name="image13.png" title="Imagem">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7</xdr:col>
      <xdr:colOff>0</xdr:colOff>
      <xdr:row>6</xdr:row>
      <xdr:rowOff>0</xdr:rowOff>
    </xdr:from>
    <xdr:ext cx="790575" cy="1800225"/>
    <xdr:pic>
      <xdr:nvPicPr>
        <xdr:cNvPr id="11" name="image7.png" title="Imagem">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8</xdr:col>
      <xdr:colOff>0</xdr:colOff>
      <xdr:row>6</xdr:row>
      <xdr:rowOff>0</xdr:rowOff>
    </xdr:from>
    <xdr:ext cx="2238375" cy="1600200"/>
    <xdr:pic>
      <xdr:nvPicPr>
        <xdr:cNvPr id="12" name="image2.pn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10</xdr:col>
      <xdr:colOff>0</xdr:colOff>
      <xdr:row>6</xdr:row>
      <xdr:rowOff>0</xdr:rowOff>
    </xdr:from>
    <xdr:ext cx="2238375" cy="1600200"/>
    <xdr:pic>
      <xdr:nvPicPr>
        <xdr:cNvPr id="13" name="image9.png">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7</xdr:row>
      <xdr:rowOff>0</xdr:rowOff>
    </xdr:from>
    <xdr:ext cx="1685925" cy="1800225"/>
    <xdr:pic>
      <xdr:nvPicPr>
        <xdr:cNvPr id="14" name="image23.png" title="Imagem">
          <a:extLst>
            <a:ext uri="{FF2B5EF4-FFF2-40B4-BE49-F238E27FC236}">
              <a16:creationId xmlns:a16="http://schemas.microsoft.com/office/drawing/2014/main" id="{00000000-0008-0000-04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7</xdr:col>
      <xdr:colOff>0</xdr:colOff>
      <xdr:row>7</xdr:row>
      <xdr:rowOff>0</xdr:rowOff>
    </xdr:from>
    <xdr:ext cx="781050" cy="1800225"/>
    <xdr:pic>
      <xdr:nvPicPr>
        <xdr:cNvPr id="15" name="image5.png" title="Imagem">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8</xdr:col>
      <xdr:colOff>0</xdr:colOff>
      <xdr:row>7</xdr:row>
      <xdr:rowOff>0</xdr:rowOff>
    </xdr:from>
    <xdr:ext cx="2238375" cy="1590675"/>
    <xdr:pic>
      <xdr:nvPicPr>
        <xdr:cNvPr id="16" name="image3.png">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10</xdr:col>
      <xdr:colOff>0</xdr:colOff>
      <xdr:row>7</xdr:row>
      <xdr:rowOff>0</xdr:rowOff>
    </xdr:from>
    <xdr:ext cx="2238375" cy="1600200"/>
    <xdr:pic>
      <xdr:nvPicPr>
        <xdr:cNvPr id="17" name="image1.png">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116</xdr:row>
      <xdr:rowOff>190500</xdr:rowOff>
    </xdr:from>
    <xdr:ext cx="6134100" cy="2752725"/>
    <xdr:graphicFrame macro="">
      <xdr:nvGraphicFramePr>
        <xdr:cNvPr id="7" name="Chart 7" title="Gráfico">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165</xdr:row>
      <xdr:rowOff>190500</xdr:rowOff>
    </xdr:from>
    <xdr:ext cx="6124575" cy="1571625"/>
    <xdr:graphicFrame macro="">
      <xdr:nvGraphicFramePr>
        <xdr:cNvPr id="8" name="Chart 8" title="Gráfico">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226</xdr:row>
      <xdr:rowOff>190500</xdr:rowOff>
    </xdr:from>
    <xdr:ext cx="6134100" cy="2362200"/>
    <xdr:graphicFrame macro="">
      <xdr:nvGraphicFramePr>
        <xdr:cNvPr id="9" name="Chart 9" title="Gráfico">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247</xdr:row>
      <xdr:rowOff>190500</xdr:rowOff>
    </xdr:from>
    <xdr:ext cx="6134100" cy="2362200"/>
    <xdr:graphicFrame macro="">
      <xdr:nvGraphicFramePr>
        <xdr:cNvPr id="10" name="Chart 10" title="Gráfico">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0</xdr:colOff>
      <xdr:row>274</xdr:row>
      <xdr:rowOff>190500</xdr:rowOff>
    </xdr:from>
    <xdr:ext cx="6134100" cy="2762250"/>
    <xdr:graphicFrame macro="">
      <xdr:nvGraphicFramePr>
        <xdr:cNvPr id="11" name="Chart 11" title="Gráfico">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0</xdr:colOff>
      <xdr:row>320</xdr:row>
      <xdr:rowOff>0</xdr:rowOff>
    </xdr:from>
    <xdr:ext cx="6134100" cy="2762250"/>
    <xdr:graphicFrame macro="">
      <xdr:nvGraphicFramePr>
        <xdr:cNvPr id="12" name="Chart 12" title="Gráfico">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0</xdr:colOff>
      <xdr:row>402</xdr:row>
      <xdr:rowOff>190500</xdr:rowOff>
    </xdr:from>
    <xdr:ext cx="6134100" cy="2771775"/>
    <xdr:graphicFrame macro="">
      <xdr:nvGraphicFramePr>
        <xdr:cNvPr id="13" name="Chart 13" title="Gráfico">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0</xdr:col>
      <xdr:colOff>0</xdr:colOff>
      <xdr:row>441</xdr:row>
      <xdr:rowOff>180975</xdr:rowOff>
    </xdr:from>
    <xdr:ext cx="6134100" cy="3162300"/>
    <xdr:graphicFrame macro="">
      <xdr:nvGraphicFramePr>
        <xdr:cNvPr id="14" name="Chart 14" title="Gráfico">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0</xdr:col>
      <xdr:colOff>0</xdr:colOff>
      <xdr:row>457</xdr:row>
      <xdr:rowOff>180975</xdr:rowOff>
    </xdr:from>
    <xdr:ext cx="6134100" cy="3162300"/>
    <xdr:graphicFrame macro="">
      <xdr:nvGraphicFramePr>
        <xdr:cNvPr id="15" name="Chart 15" title="Gráfico">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0</xdr:col>
      <xdr:colOff>0</xdr:colOff>
      <xdr:row>188</xdr:row>
      <xdr:rowOff>171450</xdr:rowOff>
    </xdr:from>
    <xdr:ext cx="3076575" cy="2571750"/>
    <xdr:graphicFrame macro="">
      <xdr:nvGraphicFramePr>
        <xdr:cNvPr id="16" name="Chart 16" title="Gráfico">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0</xdr:col>
      <xdr:colOff>0</xdr:colOff>
      <xdr:row>201</xdr:row>
      <xdr:rowOff>171450</xdr:rowOff>
    </xdr:from>
    <xdr:ext cx="6134100" cy="2762250"/>
    <xdr:graphicFrame macro="">
      <xdr:nvGraphicFramePr>
        <xdr:cNvPr id="17" name="Chart 17" title="Gráfico">
          <a:extLst>
            <a:ext uri="{FF2B5EF4-FFF2-40B4-BE49-F238E27FC236}">
              <a16:creationId xmlns:a16="http://schemas.microsoft.com/office/drawing/2014/main" id="{00000000-0008-0000-05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0</xdr:col>
      <xdr:colOff>0</xdr:colOff>
      <xdr:row>489</xdr:row>
      <xdr:rowOff>180975</xdr:rowOff>
    </xdr:from>
    <xdr:ext cx="6134100" cy="2771775"/>
    <xdr:graphicFrame macro="">
      <xdr:nvGraphicFramePr>
        <xdr:cNvPr id="18" name="Chart 18" title="Gráfico">
          <a:extLst>
            <a:ext uri="{FF2B5EF4-FFF2-40B4-BE49-F238E27FC236}">
              <a16:creationId xmlns:a16="http://schemas.microsoft.com/office/drawing/2014/main" id="{00000000-0008-0000-05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0</xdr:col>
      <xdr:colOff>0</xdr:colOff>
      <xdr:row>503</xdr:row>
      <xdr:rowOff>180975</xdr:rowOff>
    </xdr:from>
    <xdr:ext cx="6134100" cy="2771775"/>
    <xdr:graphicFrame macro="">
      <xdr:nvGraphicFramePr>
        <xdr:cNvPr id="19" name="Chart 19" title="Gráfico">
          <a:extLst>
            <a:ext uri="{FF2B5EF4-FFF2-40B4-BE49-F238E27FC236}">
              <a16:creationId xmlns:a16="http://schemas.microsoft.com/office/drawing/2014/main" id="{00000000-0008-0000-05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0</xdr:col>
      <xdr:colOff>0</xdr:colOff>
      <xdr:row>549</xdr:row>
      <xdr:rowOff>0</xdr:rowOff>
    </xdr:from>
    <xdr:ext cx="6134100" cy="2362200"/>
    <xdr:graphicFrame macro="">
      <xdr:nvGraphicFramePr>
        <xdr:cNvPr id="20" name="Chart 20" title="Gráfico">
          <a:extLst>
            <a:ext uri="{FF2B5EF4-FFF2-40B4-BE49-F238E27FC236}">
              <a16:creationId xmlns:a16="http://schemas.microsoft.com/office/drawing/2014/main" id="{00000000-0008-0000-05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0</xdr:col>
      <xdr:colOff>0</xdr:colOff>
      <xdr:row>592</xdr:row>
      <xdr:rowOff>0</xdr:rowOff>
    </xdr:from>
    <xdr:ext cx="6134100" cy="2362200"/>
    <xdr:graphicFrame macro="">
      <xdr:nvGraphicFramePr>
        <xdr:cNvPr id="21" name="Chart 21" title="Gráfico">
          <a:extLst>
            <a:ext uri="{FF2B5EF4-FFF2-40B4-BE49-F238E27FC236}">
              <a16:creationId xmlns:a16="http://schemas.microsoft.com/office/drawing/2014/main" id="{00000000-0008-0000-05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0</xdr:col>
      <xdr:colOff>0</xdr:colOff>
      <xdr:row>657</xdr:row>
      <xdr:rowOff>171450</xdr:rowOff>
    </xdr:from>
    <xdr:ext cx="6134100" cy="6134100"/>
    <xdr:graphicFrame macro="">
      <xdr:nvGraphicFramePr>
        <xdr:cNvPr id="22" name="Chart 22" title="Gráfico">
          <a:extLst>
            <a:ext uri="{FF2B5EF4-FFF2-40B4-BE49-F238E27FC236}">
              <a16:creationId xmlns:a16="http://schemas.microsoft.com/office/drawing/2014/main" id="{00000000-0008-0000-05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7</xdr:col>
      <xdr:colOff>342900</xdr:colOff>
      <xdr:row>742</xdr:row>
      <xdr:rowOff>152400</xdr:rowOff>
    </xdr:from>
    <xdr:ext cx="3057525" cy="2600325"/>
    <xdr:graphicFrame macro="">
      <xdr:nvGraphicFramePr>
        <xdr:cNvPr id="23" name="Chart 23" title="Gráfico">
          <a:extLst>
            <a:ext uri="{FF2B5EF4-FFF2-40B4-BE49-F238E27FC236}">
              <a16:creationId xmlns:a16="http://schemas.microsoft.com/office/drawing/2014/main" id="{00000000-0008-0000-05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0</xdr:col>
      <xdr:colOff>0</xdr:colOff>
      <xdr:row>748</xdr:row>
      <xdr:rowOff>19050</xdr:rowOff>
    </xdr:from>
    <xdr:ext cx="2819400" cy="1562100"/>
    <xdr:graphicFrame macro="">
      <xdr:nvGraphicFramePr>
        <xdr:cNvPr id="24" name="Chart 24" title="Gráfico">
          <a:extLst>
            <a:ext uri="{FF2B5EF4-FFF2-40B4-BE49-F238E27FC236}">
              <a16:creationId xmlns:a16="http://schemas.microsoft.com/office/drawing/2014/main" id="{00000000-0008-0000-05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0</xdr:col>
      <xdr:colOff>0</xdr:colOff>
      <xdr:row>761</xdr:row>
      <xdr:rowOff>190500</xdr:rowOff>
    </xdr:from>
    <xdr:ext cx="6124575" cy="2771775"/>
    <xdr:graphicFrame macro="">
      <xdr:nvGraphicFramePr>
        <xdr:cNvPr id="25" name="Chart 25" title="Gráfico">
          <a:extLst>
            <a:ext uri="{FF2B5EF4-FFF2-40B4-BE49-F238E27FC236}">
              <a16:creationId xmlns:a16="http://schemas.microsoft.com/office/drawing/2014/main" id="{00000000-0008-0000-05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oneCellAnchor>
    <xdr:from>
      <xdr:col>0</xdr:col>
      <xdr:colOff>0</xdr:colOff>
      <xdr:row>801</xdr:row>
      <xdr:rowOff>190500</xdr:rowOff>
    </xdr:from>
    <xdr:ext cx="6124575" cy="3352800"/>
    <xdr:graphicFrame macro="">
      <xdr:nvGraphicFramePr>
        <xdr:cNvPr id="26" name="Chart 26" title="Gráfico">
          <a:extLst>
            <a:ext uri="{FF2B5EF4-FFF2-40B4-BE49-F238E27FC236}">
              <a16:creationId xmlns:a16="http://schemas.microsoft.com/office/drawing/2014/main" id="{00000000-0008-0000-05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fLocksWithSheet="0"/>
  </xdr:oneCellAnchor>
  <xdr:oneCellAnchor>
    <xdr:from>
      <xdr:col>0</xdr:col>
      <xdr:colOff>0</xdr:colOff>
      <xdr:row>880</xdr:row>
      <xdr:rowOff>133350</xdr:rowOff>
    </xdr:from>
    <xdr:ext cx="6162675" cy="3848100"/>
    <xdr:graphicFrame macro="">
      <xdr:nvGraphicFramePr>
        <xdr:cNvPr id="27" name="Chart 27" title="Gráfico">
          <a:extLst>
            <a:ext uri="{FF2B5EF4-FFF2-40B4-BE49-F238E27FC236}">
              <a16:creationId xmlns:a16="http://schemas.microsoft.com/office/drawing/2014/main" id="{00000000-0008-0000-05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fLocksWithSheet="0"/>
  </xdr:oneCellAnchor>
  <xdr:oneCellAnchor>
    <xdr:from>
      <xdr:col>0</xdr:col>
      <xdr:colOff>0</xdr:colOff>
      <xdr:row>0</xdr:row>
      <xdr:rowOff>0</xdr:rowOff>
    </xdr:from>
    <xdr:ext cx="409575" cy="104775"/>
    <xdr:pic>
      <xdr:nvPicPr>
        <xdr:cNvPr id="2" name="image16.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0</xdr:colOff>
      <xdr:row>47</xdr:row>
      <xdr:rowOff>0</xdr:rowOff>
    </xdr:from>
    <xdr:ext cx="276225" cy="200025"/>
    <xdr:pic>
      <xdr:nvPicPr>
        <xdr:cNvPr id="3" name="image8.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0</xdr:col>
      <xdr:colOff>0</xdr:colOff>
      <xdr:row>133</xdr:row>
      <xdr:rowOff>0</xdr:rowOff>
    </xdr:from>
    <xdr:ext cx="409575" cy="104775"/>
    <xdr:pic>
      <xdr:nvPicPr>
        <xdr:cNvPr id="4" name="image14.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0</xdr:col>
      <xdr:colOff>0</xdr:colOff>
      <xdr:row>391</xdr:row>
      <xdr:rowOff>0</xdr:rowOff>
    </xdr:from>
    <xdr:ext cx="409575" cy="28575"/>
    <xdr:pic>
      <xdr:nvPicPr>
        <xdr:cNvPr id="5" name="image21.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0</xdr:col>
      <xdr:colOff>0</xdr:colOff>
      <xdr:row>521</xdr:row>
      <xdr:rowOff>0</xdr:rowOff>
    </xdr:from>
    <xdr:ext cx="409575" cy="57150"/>
    <xdr:pic>
      <xdr:nvPicPr>
        <xdr:cNvPr id="6" name="image19.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5</xdr:col>
      <xdr:colOff>0</xdr:colOff>
      <xdr:row>689</xdr:row>
      <xdr:rowOff>0</xdr:rowOff>
    </xdr:from>
    <xdr:ext cx="352425" cy="200025"/>
    <xdr:pic>
      <xdr:nvPicPr>
        <xdr:cNvPr id="28" name="image18.jpg">
          <a:extLst>
            <a:ext uri="{FF2B5EF4-FFF2-40B4-BE49-F238E27FC236}">
              <a16:creationId xmlns:a16="http://schemas.microsoft.com/office/drawing/2014/main" id="{00000000-0008-0000-05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8</xdr:col>
      <xdr:colOff>0</xdr:colOff>
      <xdr:row>689</xdr:row>
      <xdr:rowOff>0</xdr:rowOff>
    </xdr:from>
    <xdr:ext cx="352425" cy="200025"/>
    <xdr:pic>
      <xdr:nvPicPr>
        <xdr:cNvPr id="29" name="image30.jpg">
          <a:extLst>
            <a:ext uri="{FF2B5EF4-FFF2-40B4-BE49-F238E27FC236}">
              <a16:creationId xmlns:a16="http://schemas.microsoft.com/office/drawing/2014/main" id="{00000000-0008-0000-05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3</xdr:col>
      <xdr:colOff>0</xdr:colOff>
      <xdr:row>883</xdr:row>
      <xdr:rowOff>0</xdr:rowOff>
    </xdr:from>
    <xdr:ext cx="133350" cy="200025"/>
    <xdr:pic>
      <xdr:nvPicPr>
        <xdr:cNvPr id="30" name="image20.png">
          <a:extLst>
            <a:ext uri="{FF2B5EF4-FFF2-40B4-BE49-F238E27FC236}">
              <a16:creationId xmlns:a16="http://schemas.microsoft.com/office/drawing/2014/main" id="{00000000-0008-0000-05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10</xdr:col>
      <xdr:colOff>0</xdr:colOff>
      <xdr:row>883</xdr:row>
      <xdr:rowOff>0</xdr:rowOff>
    </xdr:from>
    <xdr:ext cx="133350" cy="200025"/>
    <xdr:pic>
      <xdr:nvPicPr>
        <xdr:cNvPr id="31" name="image20.png">
          <a:extLst>
            <a:ext uri="{FF2B5EF4-FFF2-40B4-BE49-F238E27FC236}">
              <a16:creationId xmlns:a16="http://schemas.microsoft.com/office/drawing/2014/main" id="{00000000-0008-0000-0500-00001F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15</xdr:col>
      <xdr:colOff>0</xdr:colOff>
      <xdr:row>3</xdr:row>
      <xdr:rowOff>0</xdr:rowOff>
    </xdr:from>
    <xdr:ext cx="542925" cy="200025"/>
    <xdr:pic>
      <xdr:nvPicPr>
        <xdr:cNvPr id="2" name="image3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0</xdr:colOff>
      <xdr:row>3</xdr:row>
      <xdr:rowOff>0</xdr:rowOff>
    </xdr:from>
    <xdr:ext cx="561975" cy="200025"/>
    <xdr:pic>
      <xdr:nvPicPr>
        <xdr:cNvPr id="3" name="image40.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0</xdr:colOff>
      <xdr:row>12</xdr:row>
      <xdr:rowOff>0</xdr:rowOff>
    </xdr:from>
    <xdr:ext cx="552450" cy="200025"/>
    <xdr:pic>
      <xdr:nvPicPr>
        <xdr:cNvPr id="4" name="image24.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0</xdr:colOff>
      <xdr:row>12</xdr:row>
      <xdr:rowOff>0</xdr:rowOff>
    </xdr:from>
    <xdr:ext cx="571500" cy="200025"/>
    <xdr:pic>
      <xdr:nvPicPr>
        <xdr:cNvPr id="5" name="image25.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0</xdr:colOff>
      <xdr:row>21</xdr:row>
      <xdr:rowOff>0</xdr:rowOff>
    </xdr:from>
    <xdr:ext cx="590550" cy="200025"/>
    <xdr:pic>
      <xdr:nvPicPr>
        <xdr:cNvPr id="6" name="image32.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17</xdr:col>
      <xdr:colOff>0</xdr:colOff>
      <xdr:row>21</xdr:row>
      <xdr:rowOff>0</xdr:rowOff>
    </xdr:from>
    <xdr:ext cx="628650" cy="200025"/>
    <xdr:pic>
      <xdr:nvPicPr>
        <xdr:cNvPr id="7" name="image35.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15</xdr:col>
      <xdr:colOff>0</xdr:colOff>
      <xdr:row>30</xdr:row>
      <xdr:rowOff>0</xdr:rowOff>
    </xdr:from>
    <xdr:ext cx="609600" cy="200025"/>
    <xdr:pic>
      <xdr:nvPicPr>
        <xdr:cNvPr id="8" name="image27.png">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17</xdr:col>
      <xdr:colOff>0</xdr:colOff>
      <xdr:row>30</xdr:row>
      <xdr:rowOff>0</xdr:rowOff>
    </xdr:from>
    <xdr:ext cx="609600" cy="200025"/>
    <xdr:pic>
      <xdr:nvPicPr>
        <xdr:cNvPr id="9" name="image34.png">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15</xdr:col>
      <xdr:colOff>0</xdr:colOff>
      <xdr:row>39</xdr:row>
      <xdr:rowOff>0</xdr:rowOff>
    </xdr:from>
    <xdr:ext cx="685800" cy="200025"/>
    <xdr:pic>
      <xdr:nvPicPr>
        <xdr:cNvPr id="10" name="image28.png">
          <a:extLst>
            <a:ext uri="{FF2B5EF4-FFF2-40B4-BE49-F238E27FC236}">
              <a16:creationId xmlns:a16="http://schemas.microsoft.com/office/drawing/2014/main" id="{00000000-0008-0000-08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17</xdr:col>
      <xdr:colOff>0</xdr:colOff>
      <xdr:row>39</xdr:row>
      <xdr:rowOff>0</xdr:rowOff>
    </xdr:from>
    <xdr:ext cx="561975" cy="200025"/>
    <xdr:pic>
      <xdr:nvPicPr>
        <xdr:cNvPr id="11" name="image39.png">
          <a:extLst>
            <a:ext uri="{FF2B5EF4-FFF2-40B4-BE49-F238E27FC236}">
              <a16:creationId xmlns:a16="http://schemas.microsoft.com/office/drawing/2014/main" id="{00000000-0008-0000-08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15</xdr:col>
      <xdr:colOff>0</xdr:colOff>
      <xdr:row>48</xdr:row>
      <xdr:rowOff>0</xdr:rowOff>
    </xdr:from>
    <xdr:ext cx="742950" cy="200025"/>
    <xdr:pic>
      <xdr:nvPicPr>
        <xdr:cNvPr id="12" name="image37.png">
          <a:extLst>
            <a:ext uri="{FF2B5EF4-FFF2-40B4-BE49-F238E27FC236}">
              <a16:creationId xmlns:a16="http://schemas.microsoft.com/office/drawing/2014/main" id="{00000000-0008-0000-08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17</xdr:col>
      <xdr:colOff>0</xdr:colOff>
      <xdr:row>48</xdr:row>
      <xdr:rowOff>0</xdr:rowOff>
    </xdr:from>
    <xdr:ext cx="571500" cy="200025"/>
    <xdr:pic>
      <xdr:nvPicPr>
        <xdr:cNvPr id="13" name="image29.png">
          <a:extLst>
            <a:ext uri="{FF2B5EF4-FFF2-40B4-BE49-F238E27FC236}">
              <a16:creationId xmlns:a16="http://schemas.microsoft.com/office/drawing/2014/main" id="{00000000-0008-0000-08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15</xdr:col>
      <xdr:colOff>0</xdr:colOff>
      <xdr:row>57</xdr:row>
      <xdr:rowOff>0</xdr:rowOff>
    </xdr:from>
    <xdr:ext cx="1066800" cy="200025"/>
    <xdr:pic>
      <xdr:nvPicPr>
        <xdr:cNvPr id="14" name="image33.png">
          <a:extLst>
            <a:ext uri="{FF2B5EF4-FFF2-40B4-BE49-F238E27FC236}">
              <a16:creationId xmlns:a16="http://schemas.microsoft.com/office/drawing/2014/main" id="{00000000-0008-0000-08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17</xdr:col>
      <xdr:colOff>0</xdr:colOff>
      <xdr:row>57</xdr:row>
      <xdr:rowOff>0</xdr:rowOff>
    </xdr:from>
    <xdr:ext cx="581025" cy="200025"/>
    <xdr:pic>
      <xdr:nvPicPr>
        <xdr:cNvPr id="15" name="image26.png">
          <a:extLst>
            <a:ext uri="{FF2B5EF4-FFF2-40B4-BE49-F238E27FC236}">
              <a16:creationId xmlns:a16="http://schemas.microsoft.com/office/drawing/2014/main" id="{00000000-0008-0000-08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17</xdr:col>
      <xdr:colOff>0</xdr:colOff>
      <xdr:row>66</xdr:row>
      <xdr:rowOff>0</xdr:rowOff>
    </xdr:from>
    <xdr:ext cx="581025" cy="200025"/>
    <xdr:pic>
      <xdr:nvPicPr>
        <xdr:cNvPr id="16" name="image36.png">
          <a:extLst>
            <a:ext uri="{FF2B5EF4-FFF2-40B4-BE49-F238E27FC236}">
              <a16:creationId xmlns:a16="http://schemas.microsoft.com/office/drawing/2014/main" id="{00000000-0008-0000-08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76200</xdr:colOff>
      <xdr:row>0</xdr:row>
      <xdr:rowOff>76200</xdr:rowOff>
    </xdr:from>
    <xdr:ext cx="1571625" cy="428625"/>
    <xdr:pic>
      <xdr:nvPicPr>
        <xdr:cNvPr id="2" name="image38.png" title="Imagem">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447675</xdr:colOff>
      <xdr:row>303</xdr:row>
      <xdr:rowOff>28575</xdr:rowOff>
    </xdr:from>
    <xdr:ext cx="6162675" cy="3848100"/>
    <xdr:graphicFrame macro="">
      <xdr:nvGraphicFramePr>
        <xdr:cNvPr id="28" name="Chart 28" title="Gráfico">
          <a:extLst>
            <a:ext uri="{FF2B5EF4-FFF2-40B4-BE49-F238E27FC236}">
              <a16:creationId xmlns:a16="http://schemas.microsoft.com/office/drawing/2014/main" id="{00000000-0008-0000-0C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1"/>
  <sheetViews>
    <sheetView workbookViewId="0">
      <selection sqref="A1:B1"/>
    </sheetView>
  </sheetViews>
  <sheetFormatPr defaultColWidth="12.5703125" defaultRowHeight="15.75" customHeight="1"/>
  <cols>
    <col min="1" max="2" width="7.5703125" customWidth="1"/>
    <col min="3" max="3" width="70.5703125" customWidth="1"/>
    <col min="4" max="4" width="7.28515625" customWidth="1"/>
    <col min="5" max="5" width="14.5703125" customWidth="1"/>
    <col min="13" max="13" width="3.5703125" customWidth="1"/>
  </cols>
  <sheetData>
    <row r="1" spans="1:12" ht="15.75" customHeight="1">
      <c r="A1" s="293" t="s">
        <v>0</v>
      </c>
      <c r="B1" s="294"/>
      <c r="C1" s="1" t="s">
        <v>1</v>
      </c>
      <c r="D1" s="2"/>
      <c r="E1" s="295" t="s">
        <v>2</v>
      </c>
      <c r="F1" s="294"/>
      <c r="G1" s="294"/>
      <c r="H1" s="294"/>
      <c r="I1" s="294"/>
      <c r="J1" s="294"/>
      <c r="K1" s="294"/>
      <c r="L1" s="294"/>
    </row>
    <row r="2" spans="1:12">
      <c r="A2" s="2"/>
      <c r="B2" s="2"/>
      <c r="C2" s="2"/>
      <c r="D2" s="2"/>
      <c r="E2" s="2"/>
      <c r="F2" s="3" t="s">
        <v>3</v>
      </c>
      <c r="G2" s="3" t="s">
        <v>4</v>
      </c>
      <c r="H2" s="3" t="s">
        <v>5</v>
      </c>
      <c r="I2" s="3" t="s">
        <v>6</v>
      </c>
      <c r="J2" s="3" t="s">
        <v>7</v>
      </c>
      <c r="K2" s="3" t="s">
        <v>8</v>
      </c>
      <c r="L2" s="3" t="s">
        <v>9</v>
      </c>
    </row>
    <row r="3" spans="1:12" ht="15.75" customHeight="1">
      <c r="A3" s="296" t="s">
        <v>10</v>
      </c>
      <c r="B3" s="294"/>
      <c r="C3" s="1"/>
      <c r="D3" s="2"/>
      <c r="E3" s="3" t="s">
        <v>11</v>
      </c>
      <c r="F3" s="4"/>
      <c r="G3" s="4"/>
      <c r="H3" s="4"/>
      <c r="I3" s="4"/>
      <c r="J3" s="4"/>
      <c r="K3" s="4"/>
      <c r="L3" s="4"/>
    </row>
    <row r="4" spans="1:12">
      <c r="A4" s="2"/>
      <c r="B4" s="2"/>
      <c r="C4" s="2"/>
      <c r="D4" s="2"/>
      <c r="E4" s="3" t="s">
        <v>12</v>
      </c>
      <c r="F4" s="4"/>
      <c r="G4" s="4"/>
      <c r="H4" s="4"/>
      <c r="I4" s="4"/>
      <c r="J4" s="4"/>
      <c r="K4" s="4"/>
      <c r="L4" s="4"/>
    </row>
    <row r="5" spans="1:12" ht="15.75" customHeight="1">
      <c r="A5" s="296" t="s">
        <v>13</v>
      </c>
      <c r="B5" s="294"/>
      <c r="C5" s="1"/>
      <c r="D5" s="2"/>
      <c r="E5" s="3" t="s">
        <v>14</v>
      </c>
      <c r="F5" s="4"/>
      <c r="G5" s="4"/>
      <c r="H5" s="4"/>
      <c r="I5" s="4"/>
      <c r="J5" s="4"/>
      <c r="K5" s="4"/>
      <c r="L5" s="4"/>
    </row>
    <row r="6" spans="1:12" ht="15.75" customHeight="1">
      <c r="A6" s="296" t="s">
        <v>15</v>
      </c>
      <c r="B6" s="294"/>
      <c r="C6" s="5"/>
      <c r="D6" s="2"/>
      <c r="E6" s="3" t="s">
        <v>16</v>
      </c>
      <c r="F6" s="4"/>
      <c r="G6" s="4"/>
      <c r="H6" s="4"/>
      <c r="I6" s="4"/>
      <c r="J6" s="4"/>
      <c r="K6" s="4"/>
      <c r="L6" s="4"/>
    </row>
    <row r="7" spans="1:12">
      <c r="A7" s="2"/>
      <c r="B7" s="2"/>
      <c r="C7" s="2"/>
      <c r="D7" s="2"/>
      <c r="E7" s="3" t="s">
        <v>17</v>
      </c>
      <c r="F7" s="4"/>
      <c r="G7" s="4"/>
      <c r="H7" s="4"/>
      <c r="I7" s="4"/>
      <c r="J7" s="4"/>
      <c r="K7" s="4"/>
      <c r="L7" s="4"/>
    </row>
    <row r="8" spans="1:12" ht="15.75" customHeight="1">
      <c r="A8" s="296" t="s">
        <v>18</v>
      </c>
      <c r="B8" s="294"/>
      <c r="C8" s="2"/>
      <c r="D8" s="2"/>
      <c r="E8" s="3" t="s">
        <v>19</v>
      </c>
      <c r="F8" s="4"/>
      <c r="G8" s="4"/>
      <c r="H8" s="4"/>
      <c r="I8" s="4"/>
      <c r="J8" s="4"/>
      <c r="K8" s="4"/>
      <c r="L8" s="4"/>
    </row>
    <row r="9" spans="1:12">
      <c r="A9" s="6"/>
      <c r="B9" s="6"/>
      <c r="C9" s="7"/>
      <c r="D9" s="2"/>
      <c r="E9" s="2"/>
      <c r="F9" s="2"/>
      <c r="G9" s="2"/>
      <c r="H9" s="2"/>
      <c r="I9" s="2"/>
      <c r="J9" s="2"/>
      <c r="K9" s="2"/>
      <c r="L9" s="2"/>
    </row>
    <row r="10" spans="1:12">
      <c r="A10" s="6"/>
      <c r="B10" s="6"/>
      <c r="C10" s="7"/>
      <c r="D10" s="2"/>
      <c r="E10" s="8" t="s">
        <v>20</v>
      </c>
      <c r="F10" s="2"/>
      <c r="G10" s="2"/>
      <c r="H10" s="2"/>
      <c r="I10" s="2"/>
      <c r="J10" s="2"/>
      <c r="K10" s="2"/>
      <c r="L10" s="2"/>
    </row>
    <row r="11" spans="1:12">
      <c r="A11" s="6"/>
      <c r="B11" s="6"/>
      <c r="C11" s="7"/>
      <c r="D11" s="2"/>
      <c r="E11" s="2" t="s">
        <v>21</v>
      </c>
      <c r="F11" s="2"/>
      <c r="G11" s="2"/>
      <c r="H11" s="2"/>
      <c r="I11" s="2"/>
      <c r="J11" s="2"/>
      <c r="K11" s="2"/>
      <c r="L11" s="2"/>
    </row>
    <row r="12" spans="1:12">
      <c r="A12" s="6"/>
      <c r="B12" s="6"/>
      <c r="C12" s="7"/>
      <c r="D12" s="2"/>
      <c r="E12" s="2" t="s">
        <v>22</v>
      </c>
      <c r="F12" s="2"/>
      <c r="G12" s="2"/>
      <c r="H12" s="2"/>
      <c r="I12" s="2"/>
      <c r="J12" s="2"/>
      <c r="K12" s="2"/>
      <c r="L12" s="2"/>
    </row>
    <row r="13" spans="1:12">
      <c r="A13" s="6"/>
      <c r="B13" s="6"/>
      <c r="C13" s="7"/>
      <c r="D13" s="2"/>
      <c r="E13" s="2" t="s">
        <v>23</v>
      </c>
      <c r="F13" s="2"/>
      <c r="G13" s="2"/>
      <c r="H13" s="2"/>
      <c r="I13" s="2"/>
      <c r="J13" s="2"/>
      <c r="K13" s="2"/>
      <c r="L13" s="2"/>
    </row>
    <row r="14" spans="1:12">
      <c r="A14" s="6"/>
      <c r="B14" s="6"/>
      <c r="C14" s="7"/>
      <c r="D14" s="2"/>
      <c r="E14" s="2" t="s">
        <v>24</v>
      </c>
      <c r="F14" s="2"/>
      <c r="G14" s="2"/>
      <c r="H14" s="2"/>
      <c r="I14" s="2"/>
      <c r="J14" s="2"/>
      <c r="K14" s="2"/>
      <c r="L14" s="2"/>
    </row>
    <row r="15" spans="1:12">
      <c r="A15" s="9">
        <v>45933</v>
      </c>
      <c r="B15" s="9"/>
      <c r="C15" s="6"/>
      <c r="D15" s="2"/>
      <c r="E15" s="2" t="s">
        <v>25</v>
      </c>
      <c r="F15" s="2"/>
      <c r="G15" s="2"/>
      <c r="H15" s="2"/>
      <c r="I15" s="2"/>
      <c r="J15" s="2"/>
      <c r="K15" s="2"/>
      <c r="L15" s="2"/>
    </row>
    <row r="16" spans="1:12">
      <c r="A16" s="6"/>
      <c r="B16" s="6"/>
      <c r="C16" s="6"/>
      <c r="D16" s="2"/>
      <c r="E16" s="2" t="s">
        <v>26</v>
      </c>
      <c r="F16" s="2"/>
      <c r="G16" s="2"/>
      <c r="H16" s="2"/>
      <c r="I16" s="2"/>
      <c r="J16" s="2"/>
      <c r="K16" s="2"/>
      <c r="L16" s="2"/>
    </row>
    <row r="17" spans="1:12">
      <c r="A17" s="10">
        <v>45938</v>
      </c>
      <c r="B17" s="6"/>
      <c r="C17" s="6"/>
      <c r="D17" s="2"/>
      <c r="E17" s="2" t="s">
        <v>2</v>
      </c>
      <c r="F17" s="2"/>
      <c r="G17" s="2"/>
      <c r="H17" s="2"/>
      <c r="I17" s="2"/>
      <c r="J17" s="2"/>
      <c r="K17" s="2"/>
      <c r="L17" s="2"/>
    </row>
    <row r="18" spans="1:12">
      <c r="A18" s="6"/>
      <c r="B18" s="6"/>
      <c r="C18" s="6"/>
      <c r="D18" s="2"/>
      <c r="E18" s="2"/>
      <c r="F18" s="2"/>
      <c r="G18" s="2"/>
      <c r="H18" s="2"/>
      <c r="I18" s="2"/>
      <c r="J18" s="2"/>
      <c r="K18" s="2"/>
      <c r="L18" s="2"/>
    </row>
    <row r="19" spans="1:12">
      <c r="A19" s="6"/>
      <c r="B19" s="6"/>
      <c r="C19" s="6"/>
      <c r="D19" s="2"/>
      <c r="E19" s="2"/>
      <c r="F19" s="2"/>
      <c r="G19" s="2"/>
      <c r="H19" s="2"/>
      <c r="I19" s="2"/>
      <c r="J19" s="2"/>
      <c r="K19" s="2"/>
      <c r="L19" s="2"/>
    </row>
    <row r="20" spans="1:12">
      <c r="A20" s="11">
        <v>46064</v>
      </c>
      <c r="B20" s="6"/>
      <c r="C20" s="6"/>
      <c r="D20" s="2"/>
      <c r="E20" s="2"/>
      <c r="F20" s="2"/>
      <c r="G20" s="2"/>
      <c r="H20" s="2"/>
      <c r="I20" s="2"/>
      <c r="J20" s="2"/>
      <c r="K20" s="2"/>
      <c r="L20" s="2"/>
    </row>
    <row r="21" spans="1:12">
      <c r="A21" s="6"/>
      <c r="B21" s="6"/>
      <c r="C21" s="6"/>
      <c r="D21" s="2"/>
      <c r="E21" s="2"/>
      <c r="F21" s="2"/>
      <c r="G21" s="2"/>
      <c r="H21" s="2"/>
      <c r="I21" s="2"/>
      <c r="J21" s="2"/>
      <c r="K21" s="2"/>
      <c r="L21" s="2"/>
    </row>
    <row r="22" spans="1:12">
      <c r="A22" s="6"/>
      <c r="B22" s="6"/>
      <c r="C22" s="6"/>
      <c r="D22" s="2"/>
      <c r="E22" s="2"/>
      <c r="F22" s="2"/>
      <c r="G22" s="2"/>
      <c r="H22" s="2"/>
      <c r="I22" s="2"/>
      <c r="J22" s="2"/>
      <c r="K22" s="2"/>
      <c r="L22" s="2"/>
    </row>
    <row r="23" spans="1:12">
      <c r="A23" s="6"/>
      <c r="B23" s="6"/>
      <c r="C23" s="6"/>
      <c r="D23" s="2"/>
      <c r="E23" s="2"/>
      <c r="F23" s="2"/>
      <c r="G23" s="2"/>
      <c r="H23" s="2"/>
      <c r="I23" s="2"/>
      <c r="J23" s="2"/>
      <c r="K23" s="2"/>
      <c r="L23" s="2"/>
    </row>
    <row r="24" spans="1:12">
      <c r="A24" s="6"/>
      <c r="B24" s="6"/>
      <c r="C24" s="6"/>
      <c r="E24" s="12"/>
      <c r="F24" s="12"/>
      <c r="G24" s="12"/>
      <c r="H24" s="12"/>
      <c r="I24" s="12"/>
      <c r="J24" s="12"/>
      <c r="K24" s="12"/>
    </row>
    <row r="25" spans="1:12">
      <c r="A25" s="6"/>
      <c r="B25" s="6"/>
      <c r="C25" s="6"/>
      <c r="E25" s="12"/>
      <c r="F25" s="12"/>
      <c r="G25" s="12"/>
      <c r="H25" s="12"/>
      <c r="I25" s="12"/>
      <c r="J25" s="12"/>
      <c r="K25" s="12"/>
    </row>
    <row r="26" spans="1:12">
      <c r="A26" s="6"/>
      <c r="B26" s="6"/>
      <c r="C26" s="6"/>
      <c r="E26" s="12"/>
      <c r="F26" s="12"/>
      <c r="G26" s="12"/>
      <c r="H26" s="12"/>
      <c r="I26" s="12"/>
      <c r="J26" s="12"/>
      <c r="K26" s="12"/>
    </row>
    <row r="27" spans="1:12">
      <c r="A27" s="6"/>
      <c r="B27" s="6"/>
      <c r="C27" s="6"/>
      <c r="E27" s="12"/>
      <c r="F27" s="12"/>
      <c r="G27" s="12"/>
      <c r="H27" s="12"/>
      <c r="I27" s="12"/>
      <c r="J27" s="12"/>
      <c r="K27" s="12"/>
    </row>
    <row r="28" spans="1:12">
      <c r="A28" s="6"/>
      <c r="B28" s="6"/>
      <c r="C28" s="6"/>
      <c r="E28" s="12"/>
      <c r="F28" s="12"/>
      <c r="G28" s="12"/>
      <c r="H28" s="12"/>
      <c r="I28" s="12"/>
      <c r="J28" s="12"/>
      <c r="K28" s="12"/>
    </row>
    <row r="29" spans="1:12">
      <c r="A29" s="6"/>
      <c r="B29" s="6"/>
      <c r="C29" s="6"/>
      <c r="E29" s="12"/>
      <c r="F29" s="12"/>
      <c r="G29" s="12"/>
      <c r="H29" s="12"/>
      <c r="I29" s="12"/>
      <c r="J29" s="12"/>
      <c r="K29" s="12"/>
    </row>
    <row r="30" spans="1:12">
      <c r="A30" s="6"/>
      <c r="B30" s="6"/>
      <c r="C30" s="6"/>
      <c r="E30" s="12"/>
      <c r="F30" s="12"/>
      <c r="G30" s="12"/>
      <c r="H30" s="12"/>
      <c r="I30" s="12"/>
      <c r="J30" s="12"/>
      <c r="K30" s="12"/>
    </row>
    <row r="31" spans="1:12">
      <c r="A31" s="13"/>
      <c r="B31" s="13"/>
      <c r="C31" s="13"/>
      <c r="E31" s="12"/>
      <c r="F31" s="12"/>
      <c r="G31" s="12"/>
      <c r="H31" s="12"/>
      <c r="I31" s="12"/>
      <c r="J31" s="12"/>
      <c r="K31" s="12"/>
    </row>
  </sheetData>
  <mergeCells count="6">
    <mergeCell ref="A8:B8"/>
    <mergeCell ref="A1:B1"/>
    <mergeCell ref="E1:L1"/>
    <mergeCell ref="A3:B3"/>
    <mergeCell ref="A5:B5"/>
    <mergeCell ref="A6:B6"/>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59"/>
  <sheetViews>
    <sheetView workbookViewId="0">
      <selection activeCell="F17" sqref="F17"/>
    </sheetView>
  </sheetViews>
  <sheetFormatPr defaultColWidth="12.5703125" defaultRowHeight="15.75" customHeight="1" outlineLevelRow="1"/>
  <cols>
    <col min="1" max="3" width="12.5703125" customWidth="1"/>
    <col min="5" max="5" width="8.140625" customWidth="1"/>
    <col min="7" max="7" width="8.140625" customWidth="1"/>
    <col min="9" max="9" width="8.140625" customWidth="1"/>
    <col min="11" max="11" width="8.140625" customWidth="1"/>
    <col min="13" max="13" width="8.140625" customWidth="1"/>
    <col min="15" max="15" width="8.140625" customWidth="1"/>
    <col min="17" max="17" width="8.140625" customWidth="1"/>
    <col min="19" max="19" width="8.140625" customWidth="1"/>
    <col min="21" max="21" width="8.140625" customWidth="1"/>
    <col min="23" max="23" width="8.140625" customWidth="1"/>
    <col min="25" max="25" width="8.140625" customWidth="1"/>
    <col min="27" max="27" width="8.140625" customWidth="1"/>
    <col min="29" max="29" width="8.140625" customWidth="1"/>
    <col min="31" max="31" width="8.140625" customWidth="1"/>
  </cols>
  <sheetData>
    <row r="1" spans="1:32">
      <c r="A1" s="14" t="s">
        <v>0</v>
      </c>
      <c r="B1" s="297" t="str">
        <f>'Anotações Gerais'!C1</f>
        <v>Claudinei Rogério Gasparoto</v>
      </c>
      <c r="C1" s="294"/>
      <c r="D1" s="294"/>
      <c r="E1" s="15"/>
      <c r="F1" s="298" t="s">
        <v>27</v>
      </c>
      <c r="G1" s="294"/>
      <c r="H1" s="16">
        <v>26471</v>
      </c>
      <c r="I1" s="17"/>
      <c r="J1" s="18" t="s">
        <v>28</v>
      </c>
      <c r="K1" s="299" t="s">
        <v>29</v>
      </c>
      <c r="L1" s="294"/>
      <c r="M1" s="17"/>
      <c r="N1" s="18" t="s">
        <v>30</v>
      </c>
      <c r="O1" s="299" t="s">
        <v>31</v>
      </c>
      <c r="P1" s="294"/>
      <c r="Q1" s="17"/>
      <c r="R1" s="300" t="s">
        <v>32</v>
      </c>
      <c r="S1" s="294"/>
      <c r="T1" s="19" t="s">
        <v>33</v>
      </c>
      <c r="U1" s="15"/>
      <c r="V1" s="301" t="s">
        <v>34</v>
      </c>
      <c r="W1" s="294"/>
      <c r="X1" s="294"/>
      <c r="Y1" s="299" t="s">
        <v>35</v>
      </c>
      <c r="Z1" s="294"/>
      <c r="AA1" s="17"/>
      <c r="AB1" s="17"/>
      <c r="AC1" s="17"/>
      <c r="AD1" s="17"/>
      <c r="AE1" s="17"/>
      <c r="AF1" s="17"/>
    </row>
    <row r="2" spans="1:32">
      <c r="A2" s="20" t="s">
        <v>36</v>
      </c>
      <c r="B2" s="21"/>
      <c r="C2" s="21" t="s">
        <v>37</v>
      </c>
      <c r="D2" s="14" t="s">
        <v>38</v>
      </c>
      <c r="E2" s="22" t="s">
        <v>39</v>
      </c>
      <c r="F2" s="14" t="s">
        <v>40</v>
      </c>
      <c r="G2" s="22" t="s">
        <v>39</v>
      </c>
      <c r="H2" s="14" t="s">
        <v>41</v>
      </c>
      <c r="I2" s="22" t="s">
        <v>39</v>
      </c>
      <c r="J2" s="14" t="s">
        <v>42</v>
      </c>
      <c r="K2" s="22" t="s">
        <v>39</v>
      </c>
      <c r="L2" s="14" t="s">
        <v>43</v>
      </c>
      <c r="M2" s="22" t="s">
        <v>39</v>
      </c>
      <c r="N2" s="14" t="s">
        <v>44</v>
      </c>
      <c r="O2" s="22" t="s">
        <v>39</v>
      </c>
      <c r="P2" s="14" t="s">
        <v>45</v>
      </c>
      <c r="Q2" s="22" t="s">
        <v>39</v>
      </c>
      <c r="R2" s="14" t="s">
        <v>46</v>
      </c>
      <c r="S2" s="22" t="s">
        <v>39</v>
      </c>
      <c r="T2" s="14" t="s">
        <v>47</v>
      </c>
      <c r="U2" s="22" t="s">
        <v>39</v>
      </c>
      <c r="V2" s="14" t="s">
        <v>48</v>
      </c>
      <c r="W2" s="22" t="s">
        <v>39</v>
      </c>
      <c r="X2" s="14" t="s">
        <v>49</v>
      </c>
      <c r="Y2" s="22" t="s">
        <v>39</v>
      </c>
      <c r="Z2" s="14" t="s">
        <v>50</v>
      </c>
      <c r="AA2" s="22" t="s">
        <v>39</v>
      </c>
      <c r="AB2" s="14" t="s">
        <v>51</v>
      </c>
      <c r="AC2" s="23" t="s">
        <v>39</v>
      </c>
      <c r="AD2" s="14" t="s">
        <v>52</v>
      </c>
      <c r="AE2" s="23" t="s">
        <v>39</v>
      </c>
      <c r="AF2" s="14" t="s">
        <v>53</v>
      </c>
    </row>
    <row r="3" spans="1:32">
      <c r="A3" s="302" t="s">
        <v>54</v>
      </c>
      <c r="B3" s="294"/>
      <c r="C3" s="15" t="s">
        <v>55</v>
      </c>
      <c r="D3" s="24">
        <v>44517</v>
      </c>
      <c r="E3" s="25"/>
      <c r="F3" s="24">
        <v>44733</v>
      </c>
      <c r="G3" s="25"/>
      <c r="H3" s="24">
        <v>44949</v>
      </c>
      <c r="I3" s="25"/>
      <c r="J3" s="24">
        <v>45078</v>
      </c>
      <c r="K3" s="25"/>
      <c r="L3" s="24">
        <v>45301</v>
      </c>
      <c r="M3" s="25"/>
      <c r="N3" s="24">
        <v>45433</v>
      </c>
      <c r="O3" s="25"/>
      <c r="P3" s="24">
        <v>45611</v>
      </c>
      <c r="Q3" s="25"/>
      <c r="R3" s="24">
        <v>45752</v>
      </c>
      <c r="S3" s="25"/>
      <c r="T3" s="24">
        <v>45829</v>
      </c>
      <c r="U3" s="25"/>
      <c r="V3" s="24">
        <v>45938</v>
      </c>
      <c r="W3" s="25"/>
      <c r="X3" s="24">
        <v>45993</v>
      </c>
      <c r="Y3" s="25"/>
      <c r="Z3" s="24">
        <v>46064</v>
      </c>
      <c r="AA3" s="25"/>
      <c r="AB3" s="24"/>
      <c r="AC3" s="25"/>
      <c r="AD3" s="24"/>
      <c r="AE3" s="25"/>
      <c r="AF3" s="24"/>
    </row>
    <row r="4" spans="1:32" outlineLevel="1">
      <c r="A4" s="302" t="s">
        <v>56</v>
      </c>
      <c r="B4" s="294"/>
      <c r="C4" s="15"/>
      <c r="D4" s="19"/>
      <c r="E4" s="26"/>
      <c r="F4" s="19"/>
      <c r="G4" s="26"/>
      <c r="H4" s="19"/>
      <c r="I4" s="26"/>
      <c r="J4" s="19"/>
      <c r="K4" s="26"/>
      <c r="L4" s="19"/>
      <c r="M4" s="26"/>
      <c r="N4" s="19"/>
      <c r="O4" s="26"/>
      <c r="P4" s="19"/>
      <c r="Q4" s="26"/>
      <c r="R4" s="19" t="s">
        <v>57</v>
      </c>
      <c r="S4" s="26"/>
      <c r="T4" s="19" t="s">
        <v>58</v>
      </c>
      <c r="U4" s="26"/>
      <c r="V4" s="19" t="s">
        <v>57</v>
      </c>
      <c r="W4" s="26"/>
      <c r="X4" s="19" t="s">
        <v>58</v>
      </c>
      <c r="Y4" s="26"/>
      <c r="Z4" s="19" t="s">
        <v>57</v>
      </c>
      <c r="AA4" s="26"/>
      <c r="AB4" s="19"/>
      <c r="AC4" s="26"/>
      <c r="AD4" s="19"/>
      <c r="AE4" s="26"/>
      <c r="AF4" s="19"/>
    </row>
    <row r="5" spans="1:32" outlineLevel="1">
      <c r="A5" s="302" t="s">
        <v>59</v>
      </c>
      <c r="B5" s="294"/>
      <c r="C5" s="15" t="s">
        <v>55</v>
      </c>
      <c r="D5" s="27">
        <v>0.47916666666666669</v>
      </c>
      <c r="E5" s="26" t="s">
        <v>55</v>
      </c>
      <c r="F5" s="27">
        <v>0.47916666666666669</v>
      </c>
      <c r="G5" s="26" t="s">
        <v>55</v>
      </c>
      <c r="H5" s="27">
        <v>0.47916666666666669</v>
      </c>
      <c r="I5" s="26" t="s">
        <v>55</v>
      </c>
      <c r="J5" s="27">
        <v>0.47916666666666669</v>
      </c>
      <c r="K5" s="26" t="s">
        <v>55</v>
      </c>
      <c r="L5" s="27">
        <v>0.625</v>
      </c>
      <c r="M5" s="26" t="s">
        <v>55</v>
      </c>
      <c r="N5" s="27">
        <v>0.58333333333333337</v>
      </c>
      <c r="O5" s="26" t="s">
        <v>55</v>
      </c>
      <c r="P5" s="27">
        <v>0.33333333333333331</v>
      </c>
      <c r="Q5" s="26" t="s">
        <v>55</v>
      </c>
      <c r="R5" s="27">
        <v>0.375</v>
      </c>
      <c r="S5" s="26" t="s">
        <v>55</v>
      </c>
      <c r="T5" s="27">
        <v>0.33333333333333331</v>
      </c>
      <c r="U5" s="26" t="s">
        <v>55</v>
      </c>
      <c r="V5" s="27">
        <v>0.33333333333333331</v>
      </c>
      <c r="W5" s="26" t="s">
        <v>55</v>
      </c>
      <c r="X5" s="27">
        <v>0.33333333333333331</v>
      </c>
      <c r="Y5" s="26" t="s">
        <v>55</v>
      </c>
      <c r="Z5" s="27">
        <v>0.72916666666666663</v>
      </c>
      <c r="AA5" s="26" t="s">
        <v>55</v>
      </c>
      <c r="AB5" s="27"/>
      <c r="AC5" s="26" t="s">
        <v>55</v>
      </c>
      <c r="AD5" s="27"/>
      <c r="AE5" s="26" t="s">
        <v>55</v>
      </c>
      <c r="AF5" s="27"/>
    </row>
    <row r="6" spans="1:32" outlineLevel="1">
      <c r="A6" s="302" t="s">
        <v>60</v>
      </c>
      <c r="B6" s="294"/>
      <c r="C6" s="15" t="s">
        <v>55</v>
      </c>
      <c r="D6" s="19" t="s">
        <v>61</v>
      </c>
      <c r="E6" s="25" t="s">
        <v>55</v>
      </c>
      <c r="F6" s="19" t="s">
        <v>61</v>
      </c>
      <c r="G6" s="25" t="s">
        <v>55</v>
      </c>
      <c r="H6" s="19" t="s">
        <v>61</v>
      </c>
      <c r="I6" s="25" t="s">
        <v>55</v>
      </c>
      <c r="J6" s="19" t="s">
        <v>61</v>
      </c>
      <c r="K6" s="25" t="s">
        <v>55</v>
      </c>
      <c r="L6" s="19" t="s">
        <v>61</v>
      </c>
      <c r="M6" s="25" t="s">
        <v>55</v>
      </c>
      <c r="N6" s="19" t="s">
        <v>61</v>
      </c>
      <c r="O6" s="25" t="s">
        <v>55</v>
      </c>
      <c r="P6" s="19" t="s">
        <v>61</v>
      </c>
      <c r="Q6" s="25" t="s">
        <v>55</v>
      </c>
      <c r="R6" s="19" t="s">
        <v>61</v>
      </c>
      <c r="S6" s="25" t="s">
        <v>55</v>
      </c>
      <c r="T6" s="19" t="s">
        <v>61</v>
      </c>
      <c r="U6" s="25" t="s">
        <v>55</v>
      </c>
      <c r="V6" s="19" t="s">
        <v>61</v>
      </c>
      <c r="W6" s="25" t="s">
        <v>55</v>
      </c>
      <c r="X6" s="19" t="s">
        <v>61</v>
      </c>
      <c r="Y6" s="25" t="s">
        <v>55</v>
      </c>
      <c r="Z6" s="19" t="s">
        <v>61</v>
      </c>
      <c r="AA6" s="25" t="s">
        <v>55</v>
      </c>
      <c r="AB6" s="19"/>
      <c r="AC6" s="25" t="s">
        <v>55</v>
      </c>
      <c r="AD6" s="19"/>
      <c r="AE6" s="25" t="s">
        <v>55</v>
      </c>
      <c r="AF6" s="19"/>
    </row>
    <row r="7" spans="1:32" outlineLevel="1">
      <c r="A7" s="302" t="s">
        <v>62</v>
      </c>
      <c r="B7" s="294"/>
      <c r="C7" s="15" t="s">
        <v>55</v>
      </c>
      <c r="D7" s="15">
        <f>IF(D3="","",DATEDIF($H$1,D3,"Y"))</f>
        <v>49</v>
      </c>
      <c r="E7" s="25" t="s">
        <v>55</v>
      </c>
      <c r="F7" s="15">
        <f>IF(F3="","",DATEDIF($H$1,F3,"Y"))</f>
        <v>50</v>
      </c>
      <c r="G7" s="25" t="s">
        <v>55</v>
      </c>
      <c r="H7" s="15">
        <f>IF(H3="","",DATEDIF($H$1,H3,"Y"))</f>
        <v>50</v>
      </c>
      <c r="I7" s="25" t="s">
        <v>55</v>
      </c>
      <c r="J7" s="15">
        <f>IF(J3="","",DATEDIF($H$1,J3,"Y"))</f>
        <v>50</v>
      </c>
      <c r="K7" s="25" t="s">
        <v>55</v>
      </c>
      <c r="L7" s="15">
        <f>IF(L3="","",DATEDIF($H$1,L3,"Y"))</f>
        <v>51</v>
      </c>
      <c r="M7" s="25" t="s">
        <v>55</v>
      </c>
      <c r="N7" s="15">
        <f>IF(N3="","",DATEDIF($H$1,N3,"Y"))</f>
        <v>51</v>
      </c>
      <c r="O7" s="25" t="s">
        <v>55</v>
      </c>
      <c r="P7" s="15">
        <f>IF(P3="","",DATEDIF($H$1,P3,"Y"))</f>
        <v>52</v>
      </c>
      <c r="Q7" s="25" t="s">
        <v>55</v>
      </c>
      <c r="R7" s="15">
        <f>IF(R3="","",DATEDIF($H$1,R3,"Y"))</f>
        <v>52</v>
      </c>
      <c r="S7" s="25" t="s">
        <v>55</v>
      </c>
      <c r="T7" s="15">
        <f>IF(T3="","",DATEDIF($H$1,T3,"Y"))</f>
        <v>53</v>
      </c>
      <c r="U7" s="25" t="s">
        <v>55</v>
      </c>
      <c r="V7" s="15">
        <f>IF(V3="","",DATEDIF($H$1,V3,"Y"))</f>
        <v>53</v>
      </c>
      <c r="W7" s="25" t="s">
        <v>55</v>
      </c>
      <c r="X7" s="15">
        <f>IF(X3="","",DATEDIF($H$1,X3,"Y"))</f>
        <v>53</v>
      </c>
      <c r="Y7" s="25" t="s">
        <v>55</v>
      </c>
      <c r="Z7" s="15">
        <f>IF(Z3="","",DATEDIF($H$1,Z3,"Y"))</f>
        <v>53</v>
      </c>
      <c r="AA7" s="25" t="s">
        <v>55</v>
      </c>
      <c r="AB7" s="15" t="str">
        <f>IF(AB3="","",DATEDIF($H$1,AB3,"Y"))</f>
        <v/>
      </c>
      <c r="AC7" s="25" t="s">
        <v>55</v>
      </c>
      <c r="AD7" s="15" t="str">
        <f>IF(AD3="","",DATEDIF($H$1,AD3,"Y"))</f>
        <v/>
      </c>
      <c r="AE7" s="25" t="s">
        <v>55</v>
      </c>
      <c r="AF7" s="15" t="str">
        <f>IF(AF3="","",DATEDIF($H$1,AF3,"Y"))</f>
        <v/>
      </c>
    </row>
    <row r="8" spans="1:32" outlineLevel="1">
      <c r="A8" s="302" t="s">
        <v>63</v>
      </c>
      <c r="B8" s="294"/>
      <c r="C8" s="15" t="s">
        <v>55</v>
      </c>
      <c r="D8" s="28">
        <f>IF(D3="","",D3+56)</f>
        <v>44573</v>
      </c>
      <c r="E8" s="25" t="s">
        <v>55</v>
      </c>
      <c r="F8" s="28">
        <f>IF(F3="","",F3+56)</f>
        <v>44789</v>
      </c>
      <c r="G8" s="25" t="s">
        <v>55</v>
      </c>
      <c r="H8" s="28">
        <f>IF(H3="","",H3+56)</f>
        <v>45005</v>
      </c>
      <c r="I8" s="25" t="s">
        <v>55</v>
      </c>
      <c r="J8" s="28">
        <f>IF(J3="","",J3+56)</f>
        <v>45134</v>
      </c>
      <c r="K8" s="25" t="s">
        <v>55</v>
      </c>
      <c r="L8" s="28">
        <f>IF(L3="","",L3+56)</f>
        <v>45357</v>
      </c>
      <c r="M8" s="25" t="s">
        <v>55</v>
      </c>
      <c r="N8" s="28">
        <f>IF(N3="","",N3+56)</f>
        <v>45489</v>
      </c>
      <c r="O8" s="25" t="s">
        <v>55</v>
      </c>
      <c r="P8" s="28">
        <f>IF(P3="","",P3+56)</f>
        <v>45667</v>
      </c>
      <c r="Q8" s="25" t="s">
        <v>55</v>
      </c>
      <c r="R8" s="28">
        <f>IF(R3="","",R3+56)</f>
        <v>45808</v>
      </c>
      <c r="S8" s="25" t="s">
        <v>55</v>
      </c>
      <c r="T8" s="28">
        <f>IF(T3="","",T3+56)</f>
        <v>45885</v>
      </c>
      <c r="U8" s="25" t="s">
        <v>55</v>
      </c>
      <c r="V8" s="28">
        <f>IF(V3="","",V3+56)</f>
        <v>45994</v>
      </c>
      <c r="W8" s="25" t="s">
        <v>55</v>
      </c>
      <c r="X8" s="28">
        <f>IF(X3="","",X3+56)</f>
        <v>46049</v>
      </c>
      <c r="Y8" s="25" t="s">
        <v>55</v>
      </c>
      <c r="Z8" s="28">
        <f>IF(Z3="","",Z3+56)</f>
        <v>46120</v>
      </c>
      <c r="AA8" s="25" t="s">
        <v>55</v>
      </c>
      <c r="AB8" s="28" t="str">
        <f>IF(AB3="","",AB3+56)</f>
        <v/>
      </c>
      <c r="AC8" s="25" t="s">
        <v>55</v>
      </c>
      <c r="AD8" s="28" t="str">
        <f>IF(AD3="","",AD3+56)</f>
        <v/>
      </c>
      <c r="AE8" s="25" t="s">
        <v>55</v>
      </c>
      <c r="AF8" s="28" t="str">
        <f>IF(AF3="","",AF3+56)</f>
        <v/>
      </c>
    </row>
    <row r="9" spans="1:32">
      <c r="A9" s="303" t="s">
        <v>64</v>
      </c>
      <c r="B9" s="294"/>
      <c r="C9" s="29">
        <f>'BD tratado'!A147</f>
        <v>15</v>
      </c>
      <c r="D9" s="29">
        <v>1</v>
      </c>
      <c r="E9" s="29"/>
      <c r="F9" s="29">
        <v>2</v>
      </c>
      <c r="G9" s="29"/>
      <c r="H9" s="29">
        <v>3</v>
      </c>
      <c r="I9" s="29"/>
      <c r="J9" s="29">
        <v>4</v>
      </c>
      <c r="K9" s="29"/>
      <c r="L9" s="29">
        <v>5</v>
      </c>
      <c r="M9" s="29"/>
      <c r="N9" s="29">
        <v>6</v>
      </c>
      <c r="O9" s="29"/>
      <c r="P9" s="29">
        <v>7</v>
      </c>
      <c r="Q9" s="29"/>
      <c r="R9" s="29">
        <v>8</v>
      </c>
      <c r="S9" s="29"/>
      <c r="T9" s="29">
        <v>9</v>
      </c>
      <c r="U9" s="29"/>
      <c r="V9" s="29">
        <v>10</v>
      </c>
      <c r="W9" s="29"/>
      <c r="X9" s="29">
        <v>11</v>
      </c>
      <c r="Y9" s="29"/>
      <c r="Z9" s="29">
        <v>12</v>
      </c>
      <c r="AA9" s="29"/>
      <c r="AB9" s="29">
        <v>13</v>
      </c>
      <c r="AC9" s="29"/>
      <c r="AD9" s="29">
        <v>14</v>
      </c>
      <c r="AE9" s="29"/>
      <c r="AF9" s="29">
        <v>15</v>
      </c>
    </row>
    <row r="10" spans="1:32" ht="15.75" customHeight="1" outlineLevel="1">
      <c r="A10" s="304" t="s">
        <v>65</v>
      </c>
      <c r="B10" s="294"/>
      <c r="C10" s="30" t="e">
        <f ca="1">'BD tratado'!D8</f>
        <v>#NAME?</v>
      </c>
      <c r="D10" s="31">
        <v>75.7</v>
      </c>
      <c r="E10" s="32">
        <f t="shared" ref="E10:E11" si="0">IF(OR(D10="",F10=""),"-",(F10-D10)*100/D10)</f>
        <v>-10.171730515191548</v>
      </c>
      <c r="F10" s="31">
        <v>68</v>
      </c>
      <c r="G10" s="32">
        <f t="shared" ref="G10:G11" si="1">IF(OR(F10="",H10=""),"-",(H10-F10)*100/F10)</f>
        <v>-7.7941176470588198</v>
      </c>
      <c r="H10" s="31">
        <v>62.7</v>
      </c>
      <c r="I10" s="32">
        <f t="shared" ref="I10:I11" si="2">IF(OR(H10="",J10=""),"-",(J10-H10)*100/H10)</f>
        <v>3.5087719298245656</v>
      </c>
      <c r="J10" s="31">
        <v>64.900000000000006</v>
      </c>
      <c r="K10" s="32">
        <f t="shared" ref="K10:K11" si="3">IF(OR(J10="",L10=""),"-",(L10-J10)*100/J10)</f>
        <v>4.3143297380585466</v>
      </c>
      <c r="L10" s="31">
        <v>67.7</v>
      </c>
      <c r="M10" s="32">
        <f t="shared" ref="M10:M11" si="4">IF(OR(L10="",N10=""),"-",(N10-L10)*100/L10)</f>
        <v>-0.14771048744462115</v>
      </c>
      <c r="N10" s="31">
        <v>67.599999999999994</v>
      </c>
      <c r="O10" s="32">
        <f t="shared" ref="O10:O11" si="5">IF(OR(N10="",P10=""),"-",(P10-N10)*100/N10)</f>
        <v>0</v>
      </c>
      <c r="P10" s="31">
        <v>67.599999999999994</v>
      </c>
      <c r="Q10" s="32">
        <f>IF(OR(P10="",R10=""),"-",(R10-P10)*100/P10)</f>
        <v>4.5857988165680608</v>
      </c>
      <c r="R10" s="31">
        <v>70.7</v>
      </c>
      <c r="S10" s="32">
        <f t="shared" ref="S10:S11" si="6">IF(OR(R10="",T10=""),"-",(T10-R10)*100/R10)</f>
        <v>-2.4045261669024085</v>
      </c>
      <c r="T10" s="31">
        <v>69</v>
      </c>
      <c r="U10" s="32">
        <f t="shared" ref="U10:U11" si="7">IF(OR(T10="",V10=""),"-",(V10-T10)*100/T10)</f>
        <v>-0.57971014492754447</v>
      </c>
      <c r="V10" s="31">
        <v>68.599999999999994</v>
      </c>
      <c r="W10" s="32">
        <f t="shared" ref="W10:W11" si="8">IF(OR(V10="",X10=""),"-",(X10-V10)*100/V10)</f>
        <v>-2.3323615160349775</v>
      </c>
      <c r="X10" s="31">
        <v>67</v>
      </c>
      <c r="Y10" s="32">
        <f t="shared" ref="Y10:Y11" si="9">IF(OR(X10="",Z10=""),"-",(Z10-X10)*100/X10)</f>
        <v>4.4776119402985071</v>
      </c>
      <c r="Z10" s="31">
        <v>70</v>
      </c>
      <c r="AA10" s="32" t="str">
        <f t="shared" ref="AA10:AA11" si="10">IF(OR(Z10="",AB10=""),"-",(AB10-Z10)*100/Z10)</f>
        <v>-</v>
      </c>
      <c r="AB10" s="31"/>
      <c r="AC10" s="32" t="str">
        <f t="shared" ref="AC10:AC11" si="11">IF(OR(AB10="",AD10=""),"-",(AD10-AB10)*100/AB10)</f>
        <v>-</v>
      </c>
      <c r="AD10" s="31"/>
      <c r="AE10" s="32" t="str">
        <f t="shared" ref="AE10:AE11" si="12">IF(OR(AD10="",AF10=""),"-",(AF10-AD10)*100/AD10)</f>
        <v>-</v>
      </c>
      <c r="AF10" s="31"/>
    </row>
    <row r="11" spans="1:32" ht="15.75" customHeight="1" outlineLevel="1">
      <c r="A11" s="304" t="s">
        <v>66</v>
      </c>
      <c r="B11" s="294"/>
      <c r="C11" s="30" t="e">
        <f ca="1">'BD tratado'!D9</f>
        <v>#NAME?</v>
      </c>
      <c r="D11" s="31">
        <v>172.8</v>
      </c>
      <c r="E11" s="32">
        <f t="shared" si="0"/>
        <v>-0.46296296296296952</v>
      </c>
      <c r="F11" s="31">
        <v>172</v>
      </c>
      <c r="G11" s="32">
        <f t="shared" si="1"/>
        <v>0</v>
      </c>
      <c r="H11" s="31">
        <v>172</v>
      </c>
      <c r="I11" s="32">
        <f t="shared" si="2"/>
        <v>0</v>
      </c>
      <c r="J11" s="31">
        <v>172</v>
      </c>
      <c r="K11" s="32">
        <f t="shared" si="3"/>
        <v>0</v>
      </c>
      <c r="L11" s="31">
        <v>172</v>
      </c>
      <c r="M11" s="32">
        <f t="shared" si="4"/>
        <v>0</v>
      </c>
      <c r="N11" s="31">
        <v>172</v>
      </c>
      <c r="O11" s="32">
        <f t="shared" si="5"/>
        <v>0</v>
      </c>
      <c r="P11" s="31">
        <v>172</v>
      </c>
      <c r="Q11" s="32" t="s">
        <v>67</v>
      </c>
      <c r="R11" s="31">
        <v>172</v>
      </c>
      <c r="S11" s="32">
        <f t="shared" si="6"/>
        <v>0</v>
      </c>
      <c r="T11" s="31">
        <v>172</v>
      </c>
      <c r="U11" s="32">
        <f t="shared" si="7"/>
        <v>0</v>
      </c>
      <c r="V11" s="31">
        <v>172</v>
      </c>
      <c r="W11" s="32">
        <f t="shared" si="8"/>
        <v>0</v>
      </c>
      <c r="X11" s="31">
        <v>172</v>
      </c>
      <c r="Y11" s="32">
        <f t="shared" si="9"/>
        <v>0</v>
      </c>
      <c r="Z11" s="31">
        <v>172</v>
      </c>
      <c r="AA11" s="32" t="str">
        <f t="shared" si="10"/>
        <v>-</v>
      </c>
      <c r="AB11" s="31"/>
      <c r="AC11" s="32" t="str">
        <f t="shared" si="11"/>
        <v>-</v>
      </c>
      <c r="AD11" s="31"/>
      <c r="AE11" s="32" t="str">
        <f t="shared" si="12"/>
        <v>-</v>
      </c>
      <c r="AF11" s="31"/>
    </row>
    <row r="12" spans="1:32">
      <c r="A12" s="303" t="s">
        <v>68</v>
      </c>
      <c r="B12" s="294"/>
      <c r="C12" s="15"/>
      <c r="D12" s="33"/>
      <c r="E12" s="32"/>
      <c r="F12" s="33"/>
      <c r="G12" s="32"/>
      <c r="H12" s="33"/>
      <c r="I12" s="32"/>
      <c r="J12" s="33"/>
      <c r="K12" s="32"/>
      <c r="L12" s="33"/>
      <c r="M12" s="32"/>
      <c r="N12" s="33"/>
      <c r="O12" s="32"/>
      <c r="P12" s="33"/>
      <c r="Q12" s="32"/>
      <c r="R12" s="33"/>
      <c r="S12" s="32"/>
      <c r="T12" s="33"/>
      <c r="U12" s="32"/>
      <c r="V12" s="33"/>
      <c r="W12" s="32"/>
      <c r="X12" s="33"/>
      <c r="Y12" s="32"/>
      <c r="Z12" s="33" t="s">
        <v>67</v>
      </c>
      <c r="AA12" s="32"/>
      <c r="AB12" s="33"/>
      <c r="AC12" s="32"/>
      <c r="AD12" s="33"/>
      <c r="AE12" s="32"/>
      <c r="AF12" s="33"/>
    </row>
    <row r="13" spans="1:32" ht="15.75" customHeight="1" outlineLevel="1">
      <c r="A13" s="304" t="s">
        <v>69</v>
      </c>
      <c r="B13" s="294"/>
      <c r="C13" s="30" t="e">
        <f ca="1">'BD tratado'!D11</f>
        <v>#NAME?</v>
      </c>
      <c r="D13" s="31">
        <v>116.8</v>
      </c>
      <c r="E13" s="32">
        <f t="shared" ref="E13:E25" si="13">IF(OR(D13="",F13=""),"-",(F13-D13)*100/D13)</f>
        <v>-4.9657534246575326</v>
      </c>
      <c r="F13" s="31">
        <v>111</v>
      </c>
      <c r="G13" s="32">
        <f t="shared" ref="G13:G25" si="14">IF(OR(F13="",H13=""),"-",(H13-F13)*100/F13)</f>
        <v>-1.8018018018018018</v>
      </c>
      <c r="H13" s="31">
        <v>109</v>
      </c>
      <c r="I13" s="32">
        <f t="shared" ref="I13:I25" si="15">IF(OR(H13="",J13=""),"-",(J13-H13)*100/H13)</f>
        <v>1.3761467889908257</v>
      </c>
      <c r="J13" s="31">
        <v>110.5</v>
      </c>
      <c r="K13" s="32">
        <f t="shared" ref="K13:K25" si="16">IF(OR(J13="",L13=""),"-",(L13-J13)*100/J13)</f>
        <v>1.8099547511312217</v>
      </c>
      <c r="L13" s="31">
        <v>112.5</v>
      </c>
      <c r="M13" s="32">
        <f t="shared" ref="M13:M25" si="17">IF(OR(L13="",N13=""),"-",(N13-L13)*100/L13)</f>
        <v>-0.44444444444444442</v>
      </c>
      <c r="N13" s="31">
        <v>112</v>
      </c>
      <c r="O13" s="32">
        <f t="shared" ref="O13:O25" si="18">IF(OR(N13="",P13=""),"-",(P13-N13)*100/N13)</f>
        <v>0.8928571428571429</v>
      </c>
      <c r="P13" s="31">
        <v>113</v>
      </c>
      <c r="Q13" s="32">
        <f t="shared" ref="Q13:Q25" si="19">IF(OR(P13="",R13=""),"-",(R13-P13)*100/P13)</f>
        <v>0</v>
      </c>
      <c r="R13" s="31">
        <v>113</v>
      </c>
      <c r="S13" s="32">
        <f t="shared" ref="S13:S25" si="20">IF(OR(R13="",T13=""),"-",(T13-R13)*100/R13)</f>
        <v>0</v>
      </c>
      <c r="T13" s="31">
        <v>113</v>
      </c>
      <c r="U13" s="32">
        <f t="shared" ref="U13:U25" si="21">IF(OR(T13="",V13=""),"-",(V13-T13)*100/T13)</f>
        <v>0</v>
      </c>
      <c r="V13" s="31">
        <v>113</v>
      </c>
      <c r="W13" s="32" t="str">
        <f t="shared" ref="W13:W25" si="22">IF(OR(V13="",X13=""),"-",(X13-V13)*100/V13)</f>
        <v>-</v>
      </c>
      <c r="X13" s="31"/>
      <c r="Y13" s="32" t="str">
        <f t="shared" ref="Y13:Y25" si="23">IF(OR(X13="",Z13=""),"-",(Z13-X13)*100/X13)</f>
        <v>-</v>
      </c>
      <c r="Z13" s="31"/>
      <c r="AA13" s="32" t="str">
        <f t="shared" ref="AA13:AA25" si="24">IF(OR(Z13="",AB13=""),"-",(AB13-Z13)*100/Z13)</f>
        <v>-</v>
      </c>
      <c r="AB13" s="31"/>
      <c r="AC13" s="32" t="str">
        <f t="shared" ref="AC13:AC25" si="25">IF(OR(AB13="",AD13=""),"-",(AD13-AB13)*100/AB13)</f>
        <v>-</v>
      </c>
      <c r="AD13" s="31"/>
      <c r="AE13" s="32" t="str">
        <f t="shared" ref="AE13:AE25" si="26">IF(OR(AD13="",AF13=""),"-",(AF13-AD13)*100/AD13)</f>
        <v>-</v>
      </c>
      <c r="AF13" s="31"/>
    </row>
    <row r="14" spans="1:32" ht="15.75" customHeight="1" outlineLevel="1">
      <c r="A14" s="304" t="s">
        <v>70</v>
      </c>
      <c r="B14" s="294"/>
      <c r="C14" s="30" t="e">
        <f ca="1">'BD tratado'!D12</f>
        <v>#NAME?</v>
      </c>
      <c r="D14" s="31">
        <v>99</v>
      </c>
      <c r="E14" s="32">
        <f t="shared" si="13"/>
        <v>-3.0303030303030303</v>
      </c>
      <c r="F14" s="31">
        <v>96</v>
      </c>
      <c r="G14" s="32">
        <f t="shared" si="14"/>
        <v>-2.0833333333333335</v>
      </c>
      <c r="H14" s="31">
        <v>94</v>
      </c>
      <c r="I14" s="32">
        <f t="shared" si="15"/>
        <v>1.0638297872340425</v>
      </c>
      <c r="J14" s="31">
        <v>95</v>
      </c>
      <c r="K14" s="32">
        <f t="shared" si="16"/>
        <v>1.5789473684210527</v>
      </c>
      <c r="L14" s="31">
        <v>96.5</v>
      </c>
      <c r="M14" s="32">
        <f t="shared" si="17"/>
        <v>0.51813471502590669</v>
      </c>
      <c r="N14" s="31">
        <v>97</v>
      </c>
      <c r="O14" s="32">
        <f t="shared" si="18"/>
        <v>0</v>
      </c>
      <c r="P14" s="31">
        <v>97</v>
      </c>
      <c r="Q14" s="32">
        <f t="shared" si="19"/>
        <v>-1.0309278350515463</v>
      </c>
      <c r="R14" s="31">
        <v>96</v>
      </c>
      <c r="S14" s="32">
        <f t="shared" si="20"/>
        <v>1.0416666666666667</v>
      </c>
      <c r="T14" s="31">
        <v>97</v>
      </c>
      <c r="U14" s="32">
        <f t="shared" si="21"/>
        <v>-1.5463917525773196</v>
      </c>
      <c r="V14" s="31">
        <v>95.5</v>
      </c>
      <c r="W14" s="32" t="str">
        <f t="shared" si="22"/>
        <v>-</v>
      </c>
      <c r="X14" s="31"/>
      <c r="Y14" s="32" t="str">
        <f t="shared" si="23"/>
        <v>-</v>
      </c>
      <c r="Z14" s="31"/>
      <c r="AA14" s="32" t="str">
        <f t="shared" si="24"/>
        <v>-</v>
      </c>
      <c r="AB14" s="31"/>
      <c r="AC14" s="32" t="str">
        <f t="shared" si="25"/>
        <v>-</v>
      </c>
      <c r="AD14" s="31"/>
      <c r="AE14" s="32" t="str">
        <f t="shared" si="26"/>
        <v>-</v>
      </c>
      <c r="AF14" s="31"/>
    </row>
    <row r="15" spans="1:32" ht="15.75" customHeight="1" outlineLevel="1">
      <c r="A15" s="304" t="s">
        <v>71</v>
      </c>
      <c r="B15" s="294"/>
      <c r="C15" s="30" t="e">
        <f ca="1">'BD tratado'!D13</f>
        <v>#NAME?</v>
      </c>
      <c r="D15" s="31">
        <v>97</v>
      </c>
      <c r="E15" s="32">
        <f t="shared" si="13"/>
        <v>-6.1855670103092786</v>
      </c>
      <c r="F15" s="31">
        <v>91</v>
      </c>
      <c r="G15" s="32">
        <f t="shared" si="14"/>
        <v>-3.2967032967032965</v>
      </c>
      <c r="H15" s="31">
        <v>88</v>
      </c>
      <c r="I15" s="32">
        <f t="shared" si="15"/>
        <v>2.2727272727272729</v>
      </c>
      <c r="J15" s="31">
        <v>90</v>
      </c>
      <c r="K15" s="32">
        <f t="shared" si="16"/>
        <v>2.2222222222222223</v>
      </c>
      <c r="L15" s="31">
        <v>92</v>
      </c>
      <c r="M15" s="32">
        <f t="shared" si="17"/>
        <v>0.54347826086956519</v>
      </c>
      <c r="N15" s="31">
        <v>92.5</v>
      </c>
      <c r="O15" s="32">
        <f t="shared" si="18"/>
        <v>0</v>
      </c>
      <c r="P15" s="31">
        <v>92.5</v>
      </c>
      <c r="Q15" s="32">
        <f t="shared" si="19"/>
        <v>-0.54054054054054057</v>
      </c>
      <c r="R15" s="31">
        <v>92</v>
      </c>
      <c r="S15" s="32">
        <f t="shared" si="20"/>
        <v>-0.54347826086956519</v>
      </c>
      <c r="T15" s="31">
        <v>91.5</v>
      </c>
      <c r="U15" s="32">
        <f t="shared" si="21"/>
        <v>1.0928961748633881</v>
      </c>
      <c r="V15" s="31">
        <v>92.5</v>
      </c>
      <c r="W15" s="32" t="str">
        <f t="shared" si="22"/>
        <v>-</v>
      </c>
      <c r="X15" s="31"/>
      <c r="Y15" s="32" t="str">
        <f t="shared" si="23"/>
        <v>-</v>
      </c>
      <c r="Z15" s="31"/>
      <c r="AA15" s="32" t="str">
        <f t="shared" si="24"/>
        <v>-</v>
      </c>
      <c r="AB15" s="31"/>
      <c r="AC15" s="32" t="str">
        <f t="shared" si="25"/>
        <v>-</v>
      </c>
      <c r="AD15" s="31"/>
      <c r="AE15" s="32" t="str">
        <f t="shared" si="26"/>
        <v>-</v>
      </c>
      <c r="AF15" s="31"/>
    </row>
    <row r="16" spans="1:32" ht="15.75" customHeight="1" outlineLevel="1">
      <c r="A16" s="304" t="s">
        <v>72</v>
      </c>
      <c r="B16" s="294"/>
      <c r="C16" s="30" t="e">
        <f ca="1">'BD tratado'!D14</f>
        <v>#NAME?</v>
      </c>
      <c r="D16" s="31">
        <v>88.5</v>
      </c>
      <c r="E16" s="32">
        <f t="shared" si="13"/>
        <v>-19.209039548022599</v>
      </c>
      <c r="F16" s="31">
        <v>71.5</v>
      </c>
      <c r="G16" s="32">
        <f t="shared" si="14"/>
        <v>2.7972027972027971</v>
      </c>
      <c r="H16" s="31">
        <v>73.5</v>
      </c>
      <c r="I16" s="32">
        <f t="shared" si="15"/>
        <v>1.3605442176870748</v>
      </c>
      <c r="J16" s="31">
        <v>74.5</v>
      </c>
      <c r="K16" s="32">
        <f t="shared" si="16"/>
        <v>4.026845637583893</v>
      </c>
      <c r="L16" s="31">
        <v>77.5</v>
      </c>
      <c r="M16" s="32">
        <f t="shared" si="17"/>
        <v>-1.935483870967742</v>
      </c>
      <c r="N16" s="31">
        <v>76</v>
      </c>
      <c r="O16" s="32">
        <f t="shared" si="18"/>
        <v>1.3157894736842106</v>
      </c>
      <c r="P16" s="31">
        <v>77</v>
      </c>
      <c r="Q16" s="32">
        <f t="shared" si="19"/>
        <v>2.5974025974025974</v>
      </c>
      <c r="R16" s="31">
        <v>79</v>
      </c>
      <c r="S16" s="32">
        <f t="shared" si="20"/>
        <v>-1.8987341772151898</v>
      </c>
      <c r="T16" s="31">
        <v>77.5</v>
      </c>
      <c r="U16" s="32">
        <f t="shared" si="21"/>
        <v>0.64516129032258063</v>
      </c>
      <c r="V16" s="31">
        <v>78</v>
      </c>
      <c r="W16" s="32">
        <f t="shared" si="22"/>
        <v>-2.5641025641025643</v>
      </c>
      <c r="X16" s="31">
        <v>76</v>
      </c>
      <c r="Y16" s="32">
        <f t="shared" si="23"/>
        <v>2.6315789473684212</v>
      </c>
      <c r="Z16" s="31">
        <v>78</v>
      </c>
      <c r="AA16" s="32" t="str">
        <f t="shared" si="24"/>
        <v>-</v>
      </c>
      <c r="AB16" s="31"/>
      <c r="AC16" s="32" t="str">
        <f t="shared" si="25"/>
        <v>-</v>
      </c>
      <c r="AD16" s="31"/>
      <c r="AE16" s="32" t="str">
        <f t="shared" si="26"/>
        <v>-</v>
      </c>
      <c r="AF16" s="31"/>
    </row>
    <row r="17" spans="1:32" ht="15.75" customHeight="1" outlineLevel="1">
      <c r="A17" s="304" t="s">
        <v>73</v>
      </c>
      <c r="B17" s="294"/>
      <c r="C17" s="30" t="e">
        <f ca="1">'BD tratado'!D15</f>
        <v>#NAME?</v>
      </c>
      <c r="D17" s="31">
        <v>94</v>
      </c>
      <c r="E17" s="32">
        <f t="shared" si="13"/>
        <v>-6.3829787234042552</v>
      </c>
      <c r="F17" s="31">
        <v>88</v>
      </c>
      <c r="G17" s="32">
        <f t="shared" si="14"/>
        <v>-3.4090909090909092</v>
      </c>
      <c r="H17" s="31">
        <v>85</v>
      </c>
      <c r="I17" s="32">
        <f t="shared" si="15"/>
        <v>1.1764705882352942</v>
      </c>
      <c r="J17" s="31">
        <v>86</v>
      </c>
      <c r="K17" s="32">
        <f t="shared" si="16"/>
        <v>2.9069767441860463</v>
      </c>
      <c r="L17" s="31">
        <v>88.5</v>
      </c>
      <c r="M17" s="32">
        <f t="shared" si="17"/>
        <v>-0.56497175141242939</v>
      </c>
      <c r="N17" s="31">
        <v>88</v>
      </c>
      <c r="O17" s="32">
        <f t="shared" si="18"/>
        <v>1.1363636363636365</v>
      </c>
      <c r="P17" s="31">
        <v>89</v>
      </c>
      <c r="Q17" s="32">
        <f t="shared" si="19"/>
        <v>1.1235955056179776</v>
      </c>
      <c r="R17" s="31">
        <v>90</v>
      </c>
      <c r="S17" s="32">
        <f t="shared" si="20"/>
        <v>-1.1111111111111112</v>
      </c>
      <c r="T17" s="31">
        <v>89</v>
      </c>
      <c r="U17" s="32">
        <f t="shared" si="21"/>
        <v>-0.5617977528089888</v>
      </c>
      <c r="V17" s="31">
        <v>88.5</v>
      </c>
      <c r="W17" s="32">
        <f t="shared" si="22"/>
        <v>0.56497175141242939</v>
      </c>
      <c r="X17" s="31">
        <v>89</v>
      </c>
      <c r="Y17" s="32">
        <f t="shared" si="23"/>
        <v>0</v>
      </c>
      <c r="Z17" s="31">
        <v>89</v>
      </c>
      <c r="AA17" s="32" t="str">
        <f t="shared" si="24"/>
        <v>-</v>
      </c>
      <c r="AB17" s="31"/>
      <c r="AC17" s="32" t="str">
        <f t="shared" si="25"/>
        <v>-</v>
      </c>
      <c r="AD17" s="31"/>
      <c r="AE17" s="32" t="str">
        <f t="shared" si="26"/>
        <v>-</v>
      </c>
      <c r="AF17" s="31"/>
    </row>
    <row r="18" spans="1:32" ht="15.75" customHeight="1" outlineLevel="1">
      <c r="A18" s="304" t="s">
        <v>74</v>
      </c>
      <c r="B18" s="294"/>
      <c r="C18" s="30" t="e">
        <f ca="1">'BD tratado'!D16</f>
        <v>#NAME?</v>
      </c>
      <c r="D18" s="31">
        <v>26.5</v>
      </c>
      <c r="E18" s="32">
        <f t="shared" si="13"/>
        <v>1.8867924528301887</v>
      </c>
      <c r="F18" s="31">
        <v>27</v>
      </c>
      <c r="G18" s="32">
        <f t="shared" si="14"/>
        <v>-3.7037037037037037</v>
      </c>
      <c r="H18" s="31">
        <v>26</v>
      </c>
      <c r="I18" s="32">
        <f t="shared" si="15"/>
        <v>0</v>
      </c>
      <c r="J18" s="31">
        <v>26</v>
      </c>
      <c r="K18" s="32">
        <f t="shared" si="16"/>
        <v>6.1538461538461595</v>
      </c>
      <c r="L18" s="31">
        <v>27.6</v>
      </c>
      <c r="M18" s="32">
        <f t="shared" si="17"/>
        <v>-2.1739130434782661</v>
      </c>
      <c r="N18" s="31">
        <v>27</v>
      </c>
      <c r="O18" s="32">
        <f t="shared" si="18"/>
        <v>-1.4814814814814763</v>
      </c>
      <c r="P18" s="31">
        <v>26.6</v>
      </c>
      <c r="Q18" s="32">
        <f t="shared" si="19"/>
        <v>7.142857142857137</v>
      </c>
      <c r="R18" s="31">
        <v>28.5</v>
      </c>
      <c r="S18" s="32">
        <f t="shared" si="20"/>
        <v>-5.2631578947368425</v>
      </c>
      <c r="T18" s="31">
        <v>27</v>
      </c>
      <c r="U18" s="32">
        <f t="shared" si="21"/>
        <v>0.74074074074073815</v>
      </c>
      <c r="V18" s="31">
        <v>27.2</v>
      </c>
      <c r="W18" s="32" t="str">
        <f t="shared" si="22"/>
        <v>-</v>
      </c>
      <c r="X18" s="31"/>
      <c r="Y18" s="32" t="str">
        <f t="shared" si="23"/>
        <v>-</v>
      </c>
      <c r="Z18" s="31"/>
      <c r="AA18" s="32" t="str">
        <f t="shared" si="24"/>
        <v>-</v>
      </c>
      <c r="AB18" s="31"/>
      <c r="AC18" s="32" t="str">
        <f t="shared" si="25"/>
        <v>-</v>
      </c>
      <c r="AD18" s="31"/>
      <c r="AE18" s="32" t="str">
        <f t="shared" si="26"/>
        <v>-</v>
      </c>
      <c r="AF18" s="31"/>
    </row>
    <row r="19" spans="1:32" ht="15.75" customHeight="1" outlineLevel="1">
      <c r="A19" s="304" t="s">
        <v>75</v>
      </c>
      <c r="B19" s="294"/>
      <c r="C19" s="30" t="e">
        <f ca="1">'BD tratado'!D17</f>
        <v>#NAME?</v>
      </c>
      <c r="D19" s="31">
        <v>30</v>
      </c>
      <c r="E19" s="32">
        <f t="shared" si="13"/>
        <v>6.666666666666667</v>
      </c>
      <c r="F19" s="31">
        <v>32</v>
      </c>
      <c r="G19" s="32">
        <f t="shared" si="14"/>
        <v>-6.25</v>
      </c>
      <c r="H19" s="31">
        <v>30</v>
      </c>
      <c r="I19" s="32">
        <f t="shared" si="15"/>
        <v>3.3333333333333335</v>
      </c>
      <c r="J19" s="31">
        <v>31</v>
      </c>
      <c r="K19" s="32">
        <f t="shared" si="16"/>
        <v>3.225806451612903</v>
      </c>
      <c r="L19" s="31">
        <v>32</v>
      </c>
      <c r="M19" s="32">
        <f t="shared" si="17"/>
        <v>-3.125</v>
      </c>
      <c r="N19" s="31">
        <v>31</v>
      </c>
      <c r="O19" s="32">
        <f t="shared" si="18"/>
        <v>3.225806451612903</v>
      </c>
      <c r="P19" s="31">
        <v>32</v>
      </c>
      <c r="Q19" s="32">
        <f t="shared" si="19"/>
        <v>2.4999999999999911</v>
      </c>
      <c r="R19" s="31">
        <v>32.799999999999997</v>
      </c>
      <c r="S19" s="32">
        <f t="shared" si="20"/>
        <v>-2.4390243902438939</v>
      </c>
      <c r="T19" s="31">
        <v>32</v>
      </c>
      <c r="U19" s="32">
        <f t="shared" si="21"/>
        <v>0</v>
      </c>
      <c r="V19" s="31">
        <v>32</v>
      </c>
      <c r="W19" s="32" t="str">
        <f t="shared" si="22"/>
        <v>-</v>
      </c>
      <c r="X19" s="31"/>
      <c r="Y19" s="32" t="str">
        <f t="shared" si="23"/>
        <v>-</v>
      </c>
      <c r="Z19" s="31"/>
      <c r="AA19" s="32" t="str">
        <f t="shared" si="24"/>
        <v>-</v>
      </c>
      <c r="AB19" s="31"/>
      <c r="AC19" s="32" t="str">
        <f t="shared" si="25"/>
        <v>-</v>
      </c>
      <c r="AD19" s="31"/>
      <c r="AE19" s="32" t="str">
        <f t="shared" si="26"/>
        <v>-</v>
      </c>
      <c r="AF19" s="31"/>
    </row>
    <row r="20" spans="1:32" ht="15.75" customHeight="1" outlineLevel="1">
      <c r="A20" s="304" t="s">
        <v>76</v>
      </c>
      <c r="B20" s="294"/>
      <c r="C20" s="30" t="e">
        <f ca="1">'BD tratado'!D18</f>
        <v>#NAME?</v>
      </c>
      <c r="D20" s="31">
        <v>53</v>
      </c>
      <c r="E20" s="32">
        <f t="shared" si="13"/>
        <v>-3.7735849056603774</v>
      </c>
      <c r="F20" s="31">
        <v>51</v>
      </c>
      <c r="G20" s="32">
        <f t="shared" si="14"/>
        <v>-1.9607843137254901</v>
      </c>
      <c r="H20" s="31">
        <v>50</v>
      </c>
      <c r="I20" s="32">
        <f t="shared" si="15"/>
        <v>3</v>
      </c>
      <c r="J20" s="31">
        <v>51.5</v>
      </c>
      <c r="K20" s="32">
        <f t="shared" si="16"/>
        <v>0.970873786407767</v>
      </c>
      <c r="L20" s="31">
        <v>52</v>
      </c>
      <c r="M20" s="32">
        <f t="shared" si="17"/>
        <v>0</v>
      </c>
      <c r="N20" s="31">
        <v>52</v>
      </c>
      <c r="O20" s="32">
        <f t="shared" si="18"/>
        <v>-1.9230769230769231</v>
      </c>
      <c r="P20" s="31">
        <v>51</v>
      </c>
      <c r="Q20" s="32">
        <f t="shared" si="19"/>
        <v>3.9215686274509802</v>
      </c>
      <c r="R20" s="31">
        <v>53</v>
      </c>
      <c r="S20" s="32">
        <f t="shared" si="20"/>
        <v>-0.94339622641509435</v>
      </c>
      <c r="T20" s="31">
        <v>52.5</v>
      </c>
      <c r="U20" s="32">
        <f t="shared" si="21"/>
        <v>0.95238095238095233</v>
      </c>
      <c r="V20" s="31">
        <v>53</v>
      </c>
      <c r="W20" s="32" t="str">
        <f t="shared" si="22"/>
        <v>-</v>
      </c>
      <c r="X20" s="31"/>
      <c r="Y20" s="32" t="str">
        <f t="shared" si="23"/>
        <v>-</v>
      </c>
      <c r="Z20" s="31"/>
      <c r="AA20" s="32" t="str">
        <f t="shared" si="24"/>
        <v>-</v>
      </c>
      <c r="AB20" s="31"/>
      <c r="AC20" s="32" t="str">
        <f t="shared" si="25"/>
        <v>-</v>
      </c>
      <c r="AD20" s="31"/>
      <c r="AE20" s="32" t="str">
        <f t="shared" si="26"/>
        <v>-</v>
      </c>
      <c r="AF20" s="31"/>
    </row>
    <row r="21" spans="1:32" ht="15.75" customHeight="1" outlineLevel="1">
      <c r="A21" s="304" t="s">
        <v>77</v>
      </c>
      <c r="B21" s="294"/>
      <c r="C21" s="30" t="e">
        <f ca="1">'BD tratado'!D19</f>
        <v>#NAME?</v>
      </c>
      <c r="D21" s="31">
        <v>39.299999999999997</v>
      </c>
      <c r="E21" s="32">
        <f t="shared" si="13"/>
        <v>-3.3078880407124611</v>
      </c>
      <c r="F21" s="31">
        <v>38</v>
      </c>
      <c r="G21" s="32">
        <f t="shared" si="14"/>
        <v>-1.3157894736842106</v>
      </c>
      <c r="H21" s="31">
        <v>37.5</v>
      </c>
      <c r="I21" s="32">
        <f t="shared" si="15"/>
        <v>-1.3333333333333333</v>
      </c>
      <c r="J21" s="31">
        <v>37</v>
      </c>
      <c r="K21" s="32">
        <f t="shared" si="16"/>
        <v>2.7027027027027026</v>
      </c>
      <c r="L21" s="31">
        <v>38</v>
      </c>
      <c r="M21" s="32">
        <f t="shared" si="17"/>
        <v>2.6315789473684212</v>
      </c>
      <c r="N21" s="31">
        <v>39</v>
      </c>
      <c r="O21" s="32">
        <f t="shared" si="18"/>
        <v>-5.1282051282051286</v>
      </c>
      <c r="P21" s="31">
        <v>37</v>
      </c>
      <c r="Q21" s="32">
        <f t="shared" si="19"/>
        <v>4.3243243243243281</v>
      </c>
      <c r="R21" s="31">
        <v>38.6</v>
      </c>
      <c r="S21" s="32">
        <f t="shared" si="20"/>
        <v>-1.5544041450777237</v>
      </c>
      <c r="T21" s="31">
        <v>38</v>
      </c>
      <c r="U21" s="32">
        <f t="shared" si="21"/>
        <v>0</v>
      </c>
      <c r="V21" s="31">
        <v>38</v>
      </c>
      <c r="W21" s="32" t="str">
        <f t="shared" si="22"/>
        <v>-</v>
      </c>
      <c r="X21" s="31"/>
      <c r="Y21" s="32" t="str">
        <f t="shared" si="23"/>
        <v>-</v>
      </c>
      <c r="Z21" s="31"/>
      <c r="AA21" s="32" t="str">
        <f t="shared" si="24"/>
        <v>-</v>
      </c>
      <c r="AB21" s="31"/>
      <c r="AC21" s="32" t="str">
        <f t="shared" si="25"/>
        <v>-</v>
      </c>
      <c r="AD21" s="31"/>
      <c r="AE21" s="32" t="str">
        <f t="shared" si="26"/>
        <v>-</v>
      </c>
      <c r="AF21" s="31"/>
    </row>
    <row r="22" spans="1:32" ht="15.75" customHeight="1" outlineLevel="1">
      <c r="A22" s="304" t="s">
        <v>78</v>
      </c>
      <c r="B22" s="294"/>
      <c r="C22" s="30" t="e">
        <f ca="1">'BD tratado'!D20</f>
        <v>#NAME?</v>
      </c>
      <c r="D22" s="31">
        <v>26.5</v>
      </c>
      <c r="E22" s="32">
        <f t="shared" si="13"/>
        <v>1.8867924528301887</v>
      </c>
      <c r="F22" s="31">
        <v>27</v>
      </c>
      <c r="G22" s="32">
        <f t="shared" si="14"/>
        <v>-3.7037037037037037</v>
      </c>
      <c r="H22" s="31">
        <v>26</v>
      </c>
      <c r="I22" s="32">
        <f t="shared" si="15"/>
        <v>0</v>
      </c>
      <c r="J22" s="31">
        <v>26</v>
      </c>
      <c r="K22" s="32">
        <f t="shared" si="16"/>
        <v>3.8461538461538463</v>
      </c>
      <c r="L22" s="31">
        <v>27</v>
      </c>
      <c r="M22" s="32">
        <f t="shared" si="17"/>
        <v>-1.8518518518518519</v>
      </c>
      <c r="N22" s="31">
        <v>26.5</v>
      </c>
      <c r="O22" s="32">
        <f t="shared" si="18"/>
        <v>1.8867924528301887</v>
      </c>
      <c r="P22" s="31">
        <v>27</v>
      </c>
      <c r="Q22" s="32">
        <f t="shared" si="19"/>
        <v>3.7037037037037037</v>
      </c>
      <c r="R22" s="31">
        <v>28</v>
      </c>
      <c r="S22" s="32">
        <f t="shared" si="20"/>
        <v>-5.3571428571428568</v>
      </c>
      <c r="T22" s="31">
        <v>26.5</v>
      </c>
      <c r="U22" s="32">
        <f t="shared" si="21"/>
        <v>0.75471698113207275</v>
      </c>
      <c r="V22" s="31">
        <v>26.7</v>
      </c>
      <c r="W22" s="32" t="str">
        <f t="shared" si="22"/>
        <v>-</v>
      </c>
      <c r="X22" s="31"/>
      <c r="Y22" s="32" t="str">
        <f t="shared" si="23"/>
        <v>-</v>
      </c>
      <c r="Z22" s="31"/>
      <c r="AA22" s="32" t="str">
        <f t="shared" si="24"/>
        <v>-</v>
      </c>
      <c r="AB22" s="31"/>
      <c r="AC22" s="32" t="str">
        <f t="shared" si="25"/>
        <v>-</v>
      </c>
      <c r="AD22" s="31"/>
      <c r="AE22" s="32" t="str">
        <f t="shared" si="26"/>
        <v>-</v>
      </c>
      <c r="AF22" s="31"/>
    </row>
    <row r="23" spans="1:32" ht="15.75" customHeight="1" outlineLevel="1">
      <c r="A23" s="304" t="s">
        <v>79</v>
      </c>
      <c r="B23" s="294"/>
      <c r="C23" s="30" t="e">
        <f ca="1">'BD tratado'!D21</f>
        <v>#NAME?</v>
      </c>
      <c r="D23" s="31">
        <v>30</v>
      </c>
      <c r="E23" s="32">
        <f t="shared" si="13"/>
        <v>3.3333333333333335</v>
      </c>
      <c r="F23" s="31">
        <v>31</v>
      </c>
      <c r="G23" s="32">
        <f t="shared" si="14"/>
        <v>-3.225806451612903</v>
      </c>
      <c r="H23" s="31">
        <v>30</v>
      </c>
      <c r="I23" s="32">
        <f t="shared" si="15"/>
        <v>-1.6666666666666667</v>
      </c>
      <c r="J23" s="31">
        <v>29.5</v>
      </c>
      <c r="K23" s="32">
        <f t="shared" si="16"/>
        <v>5.0847457627118642</v>
      </c>
      <c r="L23" s="31">
        <v>31</v>
      </c>
      <c r="M23" s="32">
        <f t="shared" si="17"/>
        <v>-3.225806451612903</v>
      </c>
      <c r="N23" s="31">
        <v>30</v>
      </c>
      <c r="O23" s="32">
        <f t="shared" si="18"/>
        <v>5</v>
      </c>
      <c r="P23" s="31">
        <v>31.5</v>
      </c>
      <c r="Q23" s="32">
        <f t="shared" si="19"/>
        <v>1.5873015873015872</v>
      </c>
      <c r="R23" s="31">
        <v>32</v>
      </c>
      <c r="S23" s="32">
        <f t="shared" si="20"/>
        <v>-1.5625</v>
      </c>
      <c r="T23" s="31">
        <v>31.5</v>
      </c>
      <c r="U23" s="32">
        <f t="shared" si="21"/>
        <v>-1.5873015873015872</v>
      </c>
      <c r="V23" s="31">
        <v>31</v>
      </c>
      <c r="W23" s="32" t="str">
        <f t="shared" si="22"/>
        <v>-</v>
      </c>
      <c r="X23" s="31"/>
      <c r="Y23" s="32" t="str">
        <f t="shared" si="23"/>
        <v>-</v>
      </c>
      <c r="Z23" s="31"/>
      <c r="AA23" s="32" t="str">
        <f t="shared" si="24"/>
        <v>-</v>
      </c>
      <c r="AB23" s="31"/>
      <c r="AC23" s="32" t="str">
        <f t="shared" si="25"/>
        <v>-</v>
      </c>
      <c r="AD23" s="31"/>
      <c r="AE23" s="32" t="str">
        <f t="shared" si="26"/>
        <v>-</v>
      </c>
      <c r="AF23" s="31"/>
    </row>
    <row r="24" spans="1:32" ht="15.75" customHeight="1" outlineLevel="1">
      <c r="A24" s="304" t="s">
        <v>80</v>
      </c>
      <c r="B24" s="294"/>
      <c r="C24" s="30" t="e">
        <f ca="1">'BD tratado'!D22</f>
        <v>#NAME?</v>
      </c>
      <c r="D24" s="31">
        <v>53.3</v>
      </c>
      <c r="E24" s="32">
        <f t="shared" si="13"/>
        <v>-3.3771106941838598</v>
      </c>
      <c r="F24" s="31">
        <v>51.5</v>
      </c>
      <c r="G24" s="32">
        <f t="shared" si="14"/>
        <v>-2.912621359223301</v>
      </c>
      <c r="H24" s="31">
        <v>50</v>
      </c>
      <c r="I24" s="32">
        <f t="shared" si="15"/>
        <v>4</v>
      </c>
      <c r="J24" s="31">
        <v>52</v>
      </c>
      <c r="K24" s="32">
        <f t="shared" si="16"/>
        <v>1.9230769230769231</v>
      </c>
      <c r="L24" s="31">
        <v>53</v>
      </c>
      <c r="M24" s="32">
        <f t="shared" si="17"/>
        <v>-1.8867924528301887</v>
      </c>
      <c r="N24" s="31">
        <v>52</v>
      </c>
      <c r="O24" s="32">
        <f t="shared" si="18"/>
        <v>-1.9230769230769231</v>
      </c>
      <c r="P24" s="31">
        <v>51</v>
      </c>
      <c r="Q24" s="32">
        <f t="shared" si="19"/>
        <v>3.9215686274509802</v>
      </c>
      <c r="R24" s="31">
        <v>53</v>
      </c>
      <c r="S24" s="32">
        <f t="shared" si="20"/>
        <v>0</v>
      </c>
      <c r="T24" s="31">
        <v>53</v>
      </c>
      <c r="U24" s="32">
        <f t="shared" si="21"/>
        <v>0.94339622641509435</v>
      </c>
      <c r="V24" s="31">
        <v>53.5</v>
      </c>
      <c r="W24" s="32" t="str">
        <f t="shared" si="22"/>
        <v>-</v>
      </c>
      <c r="X24" s="31"/>
      <c r="Y24" s="32" t="str">
        <f t="shared" si="23"/>
        <v>-</v>
      </c>
      <c r="Z24" s="31"/>
      <c r="AA24" s="32" t="str">
        <f t="shared" si="24"/>
        <v>-</v>
      </c>
      <c r="AB24" s="31"/>
      <c r="AC24" s="32" t="str">
        <f t="shared" si="25"/>
        <v>-</v>
      </c>
      <c r="AD24" s="31"/>
      <c r="AE24" s="32" t="str">
        <f t="shared" si="26"/>
        <v>-</v>
      </c>
      <c r="AF24" s="31"/>
    </row>
    <row r="25" spans="1:32" ht="15.75" customHeight="1" outlineLevel="1">
      <c r="A25" s="304" t="s">
        <v>81</v>
      </c>
      <c r="B25" s="294"/>
      <c r="C25" s="30" t="e">
        <f ca="1">'BD tratado'!D23</f>
        <v>#NAME?</v>
      </c>
      <c r="D25" s="31">
        <v>39</v>
      </c>
      <c r="E25" s="32">
        <f t="shared" si="13"/>
        <v>-3.8461538461538463</v>
      </c>
      <c r="F25" s="31">
        <v>37.5</v>
      </c>
      <c r="G25" s="32">
        <f t="shared" si="14"/>
        <v>-1.3333333333333333</v>
      </c>
      <c r="H25" s="31">
        <v>37</v>
      </c>
      <c r="I25" s="32">
        <f t="shared" si="15"/>
        <v>0.54054054054054823</v>
      </c>
      <c r="J25" s="31">
        <v>37.200000000000003</v>
      </c>
      <c r="K25" s="32">
        <f t="shared" si="16"/>
        <v>2.1505376344085945</v>
      </c>
      <c r="L25" s="31">
        <v>38</v>
      </c>
      <c r="M25" s="32">
        <f t="shared" si="17"/>
        <v>2.6315789473684212</v>
      </c>
      <c r="N25" s="31">
        <v>39</v>
      </c>
      <c r="O25" s="32">
        <f t="shared" si="18"/>
        <v>-5.1282051282051286</v>
      </c>
      <c r="P25" s="31">
        <v>37</v>
      </c>
      <c r="Q25" s="32">
        <f t="shared" si="19"/>
        <v>5.4054054054054053</v>
      </c>
      <c r="R25" s="31">
        <v>39</v>
      </c>
      <c r="S25" s="32">
        <f t="shared" si="20"/>
        <v>-2.051282051282044</v>
      </c>
      <c r="T25" s="31">
        <v>38.200000000000003</v>
      </c>
      <c r="U25" s="32">
        <f t="shared" si="21"/>
        <v>-1.8324607329843006</v>
      </c>
      <c r="V25" s="31">
        <v>37.5</v>
      </c>
      <c r="W25" s="32" t="str">
        <f t="shared" si="22"/>
        <v>-</v>
      </c>
      <c r="X25" s="31"/>
      <c r="Y25" s="32" t="str">
        <f t="shared" si="23"/>
        <v>-</v>
      </c>
      <c r="Z25" s="31"/>
      <c r="AA25" s="32" t="str">
        <f t="shared" si="24"/>
        <v>-</v>
      </c>
      <c r="AB25" s="31"/>
      <c r="AC25" s="32" t="str">
        <f t="shared" si="25"/>
        <v>-</v>
      </c>
      <c r="AD25" s="31"/>
      <c r="AE25" s="32" t="str">
        <f t="shared" si="26"/>
        <v>-</v>
      </c>
      <c r="AF25" s="31"/>
    </row>
    <row r="26" spans="1:32">
      <c r="A26" s="305" t="s">
        <v>82</v>
      </c>
      <c r="B26" s="294"/>
      <c r="C26" s="15"/>
      <c r="D26" s="33"/>
      <c r="E26" s="32"/>
      <c r="F26" s="33"/>
      <c r="G26" s="32"/>
      <c r="H26" s="33"/>
      <c r="I26" s="32"/>
      <c r="J26" s="33"/>
      <c r="K26" s="32"/>
      <c r="L26" s="33"/>
      <c r="M26" s="32"/>
      <c r="N26" s="33"/>
      <c r="O26" s="32"/>
      <c r="P26" s="33"/>
      <c r="Q26" s="32"/>
      <c r="R26" s="33"/>
      <c r="S26" s="32"/>
      <c r="T26" s="33"/>
      <c r="U26" s="32"/>
      <c r="V26" s="33"/>
      <c r="W26" s="32"/>
      <c r="X26" s="33"/>
      <c r="Y26" s="32"/>
      <c r="Z26" s="33"/>
      <c r="AA26" s="32"/>
      <c r="AB26" s="33"/>
      <c r="AC26" s="32"/>
      <c r="AD26" s="33"/>
      <c r="AE26" s="32"/>
      <c r="AF26" s="33"/>
    </row>
    <row r="27" spans="1:32" ht="15.75" customHeight="1" outlineLevel="1">
      <c r="A27" s="304" t="s">
        <v>83</v>
      </c>
      <c r="B27" s="294"/>
      <c r="C27" s="30" t="e">
        <f ca="1">'BD tratado'!D25</f>
        <v>#NAME?</v>
      </c>
      <c r="D27" s="31">
        <v>9.6</v>
      </c>
      <c r="E27" s="32">
        <f t="shared" ref="E27:E42" si="27">IF(OR(D27="",F27=""),"-",(F27-D27)*100/D27)</f>
        <v>-56.25</v>
      </c>
      <c r="F27" s="31">
        <v>4.2</v>
      </c>
      <c r="G27" s="32">
        <f t="shared" ref="G27:G42" si="28">IF(OR(F27="",H27=""),"-",(H27-F27)*100/F27)</f>
        <v>-4.7619047619047663</v>
      </c>
      <c r="H27" s="31">
        <v>4</v>
      </c>
      <c r="I27" s="32">
        <f t="shared" ref="I27:I42" si="29">IF(OR(H27="",J27=""),"-",(J27-H27)*100/H27)</f>
        <v>-5.0000000000000044</v>
      </c>
      <c r="J27" s="31">
        <v>3.8</v>
      </c>
      <c r="K27" s="32">
        <f t="shared" ref="K27:K42" si="30">IF(OR(J27="",L27=""),"-",(L27-J27)*100/J27)</f>
        <v>5.2631578947368469</v>
      </c>
      <c r="L27" s="31">
        <v>4</v>
      </c>
      <c r="M27" s="32">
        <f t="shared" ref="M27:M42" si="31">IF(OR(L27="",N27=""),"-",(N27-L27)*100/L27)</f>
        <v>-19.999999999999996</v>
      </c>
      <c r="N27" s="31">
        <v>3.2</v>
      </c>
      <c r="O27" s="32">
        <f t="shared" ref="O27:O42" si="32">IF(OR(N27="",P27=""),"-",(P27-N27)*100/N27)</f>
        <v>0</v>
      </c>
      <c r="P27" s="31">
        <v>3.2</v>
      </c>
      <c r="Q27" s="32">
        <f t="shared" ref="Q27:Q42" si="33">IF(OR(P27="",R27=""),"-",(R27-P27)*100/P27)</f>
        <v>6.2499999999999911</v>
      </c>
      <c r="R27" s="31">
        <v>3.4</v>
      </c>
      <c r="S27" s="32">
        <f t="shared" ref="S27:S42" si="34">IF(OR(R27="",T27=""),"-",(T27-R27)*100/R27)</f>
        <v>0</v>
      </c>
      <c r="T27" s="31">
        <v>3.4</v>
      </c>
      <c r="U27" s="32">
        <f t="shared" ref="U27:U42" si="35">IF(OR(T27="",V27=""),"-",(V27-T27)*100/T27)</f>
        <v>0</v>
      </c>
      <c r="V27" s="31">
        <v>3.4</v>
      </c>
      <c r="W27" s="32">
        <f t="shared" ref="W27:W42" si="36">IF(OR(V27="",X27=""),"-",(X27-V27)*100/V27)</f>
        <v>-11.76470588235294</v>
      </c>
      <c r="X27" s="31">
        <v>3</v>
      </c>
      <c r="Y27" s="32">
        <f t="shared" ref="Y27:Y42" si="37">IF(OR(X27="",Z27=""),"-",(Z27-X27)*100/X27)</f>
        <v>13.33333333333333</v>
      </c>
      <c r="Z27" s="31">
        <v>3.4</v>
      </c>
      <c r="AA27" s="32" t="str">
        <f t="shared" ref="AA27:AA42" si="38">IF(OR(Z27="",AB27=""),"-",(AB27-Z27)*100/Z27)</f>
        <v>-</v>
      </c>
      <c r="AB27" s="31"/>
      <c r="AC27" s="32" t="str">
        <f t="shared" ref="AC27:AC42" si="39">IF(OR(AB27="",AD27=""),"-",(AD27-AB27)*100/AB27)</f>
        <v>-</v>
      </c>
      <c r="AD27" s="31"/>
      <c r="AE27" s="32" t="str">
        <f t="shared" ref="AE27:AE42" si="40">IF(OR(AD27="",AF27=""),"-",(AF27-AD27)*100/AD27)</f>
        <v>-</v>
      </c>
      <c r="AF27" s="31"/>
    </row>
    <row r="28" spans="1:32" ht="15.75" customHeight="1" outlineLevel="1">
      <c r="A28" s="304" t="s">
        <v>84</v>
      </c>
      <c r="B28" s="294"/>
      <c r="C28" s="30" t="e">
        <f ca="1">'BD tratado'!D26</f>
        <v>#NAME?</v>
      </c>
      <c r="D28" s="31">
        <v>29</v>
      </c>
      <c r="E28" s="32">
        <f t="shared" si="27"/>
        <v>-40.689655172413794</v>
      </c>
      <c r="F28" s="31">
        <v>17.2</v>
      </c>
      <c r="G28" s="32">
        <f t="shared" si="28"/>
        <v>-40.116279069767437</v>
      </c>
      <c r="H28" s="31">
        <v>10.3</v>
      </c>
      <c r="I28" s="32">
        <f t="shared" si="29"/>
        <v>-10.67961165048545</v>
      </c>
      <c r="J28" s="31">
        <v>9.1999999999999993</v>
      </c>
      <c r="K28" s="32">
        <f t="shared" si="30"/>
        <v>41.304347826086968</v>
      </c>
      <c r="L28" s="31">
        <v>13</v>
      </c>
      <c r="M28" s="32">
        <f t="shared" si="31"/>
        <v>-19.999999999999996</v>
      </c>
      <c r="N28" s="31">
        <v>10.4</v>
      </c>
      <c r="O28" s="32">
        <f t="shared" si="32"/>
        <v>0</v>
      </c>
      <c r="P28" s="31">
        <v>10.4</v>
      </c>
      <c r="Q28" s="32">
        <f t="shared" si="33"/>
        <v>45.192307692307686</v>
      </c>
      <c r="R28" s="31">
        <v>15.1</v>
      </c>
      <c r="S28" s="32">
        <f t="shared" si="34"/>
        <v>-6.6225165562913908</v>
      </c>
      <c r="T28" s="31">
        <v>14.1</v>
      </c>
      <c r="U28" s="32">
        <f t="shared" si="35"/>
        <v>-12.056737588652478</v>
      </c>
      <c r="V28" s="31">
        <v>12.4</v>
      </c>
      <c r="W28" s="32">
        <f t="shared" si="36"/>
        <v>-11.290322580645164</v>
      </c>
      <c r="X28" s="31">
        <v>11</v>
      </c>
      <c r="Y28" s="32">
        <f t="shared" si="37"/>
        <v>12.72727272727273</v>
      </c>
      <c r="Z28" s="31">
        <v>12.4</v>
      </c>
      <c r="AA28" s="32" t="str">
        <f t="shared" si="38"/>
        <v>-</v>
      </c>
      <c r="AB28" s="31"/>
      <c r="AC28" s="32" t="str">
        <f t="shared" si="39"/>
        <v>-</v>
      </c>
      <c r="AD28" s="31"/>
      <c r="AE28" s="32" t="str">
        <f t="shared" si="40"/>
        <v>-</v>
      </c>
      <c r="AF28" s="31"/>
    </row>
    <row r="29" spans="1:32" ht="15.75" customHeight="1" outlineLevel="1">
      <c r="A29" s="304" t="s">
        <v>85</v>
      </c>
      <c r="B29" s="294"/>
      <c r="C29" s="30" t="e">
        <f ca="1">'BD tratado'!D27</f>
        <v>#NAME?</v>
      </c>
      <c r="D29" s="31">
        <v>11.4</v>
      </c>
      <c r="E29" s="32">
        <f t="shared" si="27"/>
        <v>-60.526315789473685</v>
      </c>
      <c r="F29" s="31">
        <v>4.5</v>
      </c>
      <c r="G29" s="32">
        <f t="shared" si="28"/>
        <v>-8.8888888888888964</v>
      </c>
      <c r="H29" s="31">
        <v>4.0999999999999996</v>
      </c>
      <c r="I29" s="32">
        <f t="shared" si="29"/>
        <v>-4.8780487804877986</v>
      </c>
      <c r="J29" s="31">
        <v>3.9</v>
      </c>
      <c r="K29" s="32">
        <f t="shared" si="30"/>
        <v>15.384615384615387</v>
      </c>
      <c r="L29" s="31">
        <v>4.5</v>
      </c>
      <c r="M29" s="32">
        <f t="shared" si="31"/>
        <v>-13.333333333333336</v>
      </c>
      <c r="N29" s="31">
        <v>3.9</v>
      </c>
      <c r="O29" s="32">
        <f t="shared" si="32"/>
        <v>-2.5641025641025665</v>
      </c>
      <c r="P29" s="31">
        <v>3.8</v>
      </c>
      <c r="Q29" s="32">
        <f t="shared" si="33"/>
        <v>26.315789473684212</v>
      </c>
      <c r="R29" s="31">
        <v>4.8</v>
      </c>
      <c r="S29" s="32">
        <f t="shared" si="34"/>
        <v>-4.1666666666666705</v>
      </c>
      <c r="T29" s="31">
        <v>4.5999999999999996</v>
      </c>
      <c r="U29" s="32">
        <f t="shared" si="35"/>
        <v>-6.5217391304347796</v>
      </c>
      <c r="V29" s="31">
        <v>4.3</v>
      </c>
      <c r="W29" s="32">
        <f t="shared" si="36"/>
        <v>-2.3255813953488289</v>
      </c>
      <c r="X29" s="31">
        <v>4.2</v>
      </c>
      <c r="Y29" s="32">
        <f t="shared" si="37"/>
        <v>-4.7619047619047663</v>
      </c>
      <c r="Z29" s="31">
        <v>4</v>
      </c>
      <c r="AA29" s="32" t="str">
        <f t="shared" si="38"/>
        <v>-</v>
      </c>
      <c r="AB29" s="31"/>
      <c r="AC29" s="32" t="str">
        <f t="shared" si="39"/>
        <v>-</v>
      </c>
      <c r="AD29" s="31"/>
      <c r="AE29" s="32" t="str">
        <f t="shared" si="40"/>
        <v>-</v>
      </c>
      <c r="AF29" s="31"/>
    </row>
    <row r="30" spans="1:32" ht="15.75" customHeight="1" outlineLevel="1">
      <c r="A30" s="304" t="s">
        <v>86</v>
      </c>
      <c r="B30" s="294"/>
      <c r="C30" s="30" t="e">
        <f ca="1">'BD tratado'!D28</f>
        <v>#NAME?</v>
      </c>
      <c r="D30" s="31">
        <v>32</v>
      </c>
      <c r="E30" s="32">
        <f t="shared" si="27"/>
        <v>-57.499999999999993</v>
      </c>
      <c r="F30" s="31">
        <v>13.6</v>
      </c>
      <c r="G30" s="32">
        <f t="shared" si="28"/>
        <v>-29.411764705882355</v>
      </c>
      <c r="H30" s="31">
        <v>9.6</v>
      </c>
      <c r="I30" s="32">
        <f t="shared" si="29"/>
        <v>-6.2499999999999964</v>
      </c>
      <c r="J30" s="31">
        <v>9</v>
      </c>
      <c r="K30" s="32">
        <f t="shared" si="30"/>
        <v>45.55555555555555</v>
      </c>
      <c r="L30" s="31">
        <v>13.1</v>
      </c>
      <c r="M30" s="32">
        <f t="shared" si="31"/>
        <v>-38.931297709923662</v>
      </c>
      <c r="N30" s="31">
        <v>8</v>
      </c>
      <c r="O30" s="32">
        <f t="shared" si="32"/>
        <v>6.25</v>
      </c>
      <c r="P30" s="31">
        <v>8.5</v>
      </c>
      <c r="Q30" s="32">
        <f t="shared" si="33"/>
        <v>52.941176470588232</v>
      </c>
      <c r="R30" s="31">
        <v>13</v>
      </c>
      <c r="S30" s="32">
        <f t="shared" si="34"/>
        <v>-2.3076923076923133</v>
      </c>
      <c r="T30" s="31">
        <v>12.7</v>
      </c>
      <c r="U30" s="32">
        <f t="shared" si="35"/>
        <v>0.78740157480316086</v>
      </c>
      <c r="V30" s="31">
        <v>12.8</v>
      </c>
      <c r="W30" s="32">
        <f t="shared" si="36"/>
        <v>-22.656250000000004</v>
      </c>
      <c r="X30" s="31">
        <v>9.9</v>
      </c>
      <c r="Y30" s="32">
        <f t="shared" si="37"/>
        <v>-5.0505050505050502</v>
      </c>
      <c r="Z30" s="31">
        <v>9.4</v>
      </c>
      <c r="AA30" s="32" t="str">
        <f t="shared" si="38"/>
        <v>-</v>
      </c>
      <c r="AB30" s="31"/>
      <c r="AC30" s="32" t="str">
        <f t="shared" si="39"/>
        <v>-</v>
      </c>
      <c r="AD30" s="31"/>
      <c r="AE30" s="32" t="str">
        <f t="shared" si="40"/>
        <v>-</v>
      </c>
      <c r="AF30" s="31"/>
    </row>
    <row r="31" spans="1:32" ht="15.75" customHeight="1" outlineLevel="1">
      <c r="A31" s="304" t="s">
        <v>87</v>
      </c>
      <c r="B31" s="294"/>
      <c r="C31" s="30" t="e">
        <f ca="1">'BD tratado'!D29</f>
        <v>#NAME?</v>
      </c>
      <c r="D31" s="31">
        <v>7.7</v>
      </c>
      <c r="E31" s="32">
        <f t="shared" si="27"/>
        <v>-25.974025974025974</v>
      </c>
      <c r="F31" s="31">
        <v>5.7</v>
      </c>
      <c r="G31" s="32">
        <f t="shared" si="28"/>
        <v>-29.824561403508778</v>
      </c>
      <c r="H31" s="31">
        <v>4</v>
      </c>
      <c r="I31" s="32">
        <f t="shared" si="29"/>
        <v>5.0000000000000044</v>
      </c>
      <c r="J31" s="31">
        <v>4.2</v>
      </c>
      <c r="K31" s="32">
        <f t="shared" si="30"/>
        <v>14.285714285714276</v>
      </c>
      <c r="L31" s="31">
        <v>4.8</v>
      </c>
      <c r="M31" s="32">
        <f t="shared" si="31"/>
        <v>-2.0833333333333259</v>
      </c>
      <c r="N31" s="31">
        <v>4.7</v>
      </c>
      <c r="O31" s="32">
        <f t="shared" si="32"/>
        <v>-25.531914893617024</v>
      </c>
      <c r="P31" s="31">
        <v>3.5</v>
      </c>
      <c r="Q31" s="32">
        <f t="shared" si="33"/>
        <v>40.000000000000007</v>
      </c>
      <c r="R31" s="31">
        <v>4.9000000000000004</v>
      </c>
      <c r="S31" s="32">
        <f t="shared" si="34"/>
        <v>-4.0816326530612281</v>
      </c>
      <c r="T31" s="31">
        <v>4.7</v>
      </c>
      <c r="U31" s="32">
        <f t="shared" si="35"/>
        <v>6.3829787234042517</v>
      </c>
      <c r="V31" s="31">
        <v>5</v>
      </c>
      <c r="W31" s="32">
        <f t="shared" si="36"/>
        <v>-4.0000000000000036</v>
      </c>
      <c r="X31" s="31">
        <v>4.8</v>
      </c>
      <c r="Y31" s="32">
        <f t="shared" si="37"/>
        <v>-12.499999999999993</v>
      </c>
      <c r="Z31" s="31">
        <v>4.2</v>
      </c>
      <c r="AA31" s="32" t="str">
        <f t="shared" si="38"/>
        <v>-</v>
      </c>
      <c r="AB31" s="31"/>
      <c r="AC31" s="32" t="str">
        <f t="shared" si="39"/>
        <v>-</v>
      </c>
      <c r="AD31" s="31"/>
      <c r="AE31" s="32" t="str">
        <f t="shared" si="40"/>
        <v>-</v>
      </c>
      <c r="AF31" s="31"/>
    </row>
    <row r="32" spans="1:32" ht="15.75" customHeight="1" outlineLevel="1">
      <c r="A32" s="304" t="s">
        <v>88</v>
      </c>
      <c r="B32" s="294"/>
      <c r="C32" s="30" t="e">
        <f ca="1">'BD tratado'!D30</f>
        <v>#NAME?</v>
      </c>
      <c r="D32" s="33">
        <f>IF(COUNTBLANK(D27:D31)&gt;2,"",SUM(D27:D31))</f>
        <v>89.7</v>
      </c>
      <c r="E32" s="32">
        <f t="shared" si="27"/>
        <v>-49.609810479375696</v>
      </c>
      <c r="F32" s="33">
        <f>IF(COUNTBLANK(F27:F31)&gt;2,"",SUM(F27:F31))</f>
        <v>45.2</v>
      </c>
      <c r="G32" s="32">
        <f t="shared" si="28"/>
        <v>-29.203539823008853</v>
      </c>
      <c r="H32" s="33">
        <f>IF(COUNTBLANK(H27:H31)&gt;2,"",SUM(H27:H31))</f>
        <v>32</v>
      </c>
      <c r="I32" s="32">
        <f t="shared" si="29"/>
        <v>-5.9375000000000071</v>
      </c>
      <c r="J32" s="33">
        <f>IF(COUNTBLANK(J27:J31)&gt;2,"",SUM(J27:J31))</f>
        <v>30.099999999999998</v>
      </c>
      <c r="K32" s="32">
        <f t="shared" si="30"/>
        <v>30.897009966777414</v>
      </c>
      <c r="L32" s="33">
        <f>IF(COUNTBLANK(L27:L31)&gt;2,"",SUM(L27:L31))</f>
        <v>39.4</v>
      </c>
      <c r="M32" s="32">
        <f t="shared" si="31"/>
        <v>-23.350253807106597</v>
      </c>
      <c r="N32" s="33">
        <f>IF(COUNTBLANK(N27:N31)&gt;2,"",SUM(N27:N31))</f>
        <v>30.2</v>
      </c>
      <c r="O32" s="32">
        <f t="shared" si="32"/>
        <v>-2.6490066225165467</v>
      </c>
      <c r="P32" s="33">
        <f>IF(COUNTBLANK(P27:P31)&gt;2,"",SUM(P27:P31))</f>
        <v>29.400000000000002</v>
      </c>
      <c r="Q32" s="32">
        <f t="shared" si="33"/>
        <v>40.136054421768684</v>
      </c>
      <c r="R32" s="33">
        <f>IF(COUNTBLANK(R27:R31)&gt;2,"",SUM(R27:R31))</f>
        <v>41.199999999999996</v>
      </c>
      <c r="S32" s="32">
        <f t="shared" si="34"/>
        <v>-4.1262135922329994</v>
      </c>
      <c r="T32" s="33">
        <f>IF(COUNTBLANK(T27:T31)&gt;2,"",SUM(T27:T31))</f>
        <v>39.5</v>
      </c>
      <c r="U32" s="32">
        <f t="shared" si="35"/>
        <v>-4.0506329113923902</v>
      </c>
      <c r="V32" s="33">
        <f>IF(COUNTBLANK(V27:V31)&gt;2,"",SUM(V27:V31))</f>
        <v>37.900000000000006</v>
      </c>
      <c r="W32" s="32">
        <f t="shared" si="36"/>
        <v>-13.192612137203183</v>
      </c>
      <c r="X32" s="33">
        <f>IF(COUNTBLANK(X27:X31)&gt;2,"",SUM(X27:X31))</f>
        <v>32.9</v>
      </c>
      <c r="Y32" s="32">
        <f t="shared" si="37"/>
        <v>1.5197568389057967</v>
      </c>
      <c r="Z32" s="33">
        <f>IF(COUNTBLANK(Z27:Z31)&gt;2,"",SUM(Z27:Z31))</f>
        <v>33.400000000000006</v>
      </c>
      <c r="AA32" s="32" t="str">
        <f t="shared" si="38"/>
        <v>-</v>
      </c>
      <c r="AB32" s="33" t="str">
        <f>IF(COUNTBLANK(AB27:AB31)&gt;2,"",SUM(AB27:AB31))</f>
        <v/>
      </c>
      <c r="AC32" s="32" t="str">
        <f t="shared" si="39"/>
        <v>-</v>
      </c>
      <c r="AD32" s="33" t="str">
        <f>IF(COUNTBLANK(AD27:AD31)&gt;2,"",SUM(AD27:AD31))</f>
        <v/>
      </c>
      <c r="AE32" s="32" t="str">
        <f t="shared" si="40"/>
        <v>-</v>
      </c>
      <c r="AF32" s="33" t="str">
        <f>IF(COUNTBLANK(AF27:AF31)&gt;2,"",SUM(AF27:AF31))</f>
        <v/>
      </c>
    </row>
    <row r="33" spans="1:32" ht="15.75" customHeight="1" outlineLevel="1">
      <c r="A33" s="304" t="s">
        <v>89</v>
      </c>
      <c r="B33" s="294"/>
      <c r="C33" s="30" t="e">
        <f ca="1">'BD tratado'!D31</f>
        <v>#NAME?</v>
      </c>
      <c r="D33" s="33">
        <f>IF(D32,IF($K$1="Feminino",(4.95/(1.1665-(0.07063*(LOG10(D28+D29+D31))))-4.5)*100,((4.95/(1.17136-(0.06706*(LOG10(D27+D29+D30))))-4.5))*100),"")</f>
        <v>18.869854774676131</v>
      </c>
      <c r="E33" s="32">
        <f t="shared" si="27"/>
        <v>-57.956078840698062</v>
      </c>
      <c r="F33" s="33">
        <f>IF(F32,IF($K$1="Feminino",(4.95/(1.1665-(0.07063*(LOG10(F28+F29+F31))))-4.5)*100,((4.95/(1.17136-(0.06706*(LOG10(F27+F29+F30))))-4.5))*100),"")</f>
        <v>7.9336268643396046</v>
      </c>
      <c r="G33" s="32">
        <f t="shared" si="28"/>
        <v>-35.705451010548494</v>
      </c>
      <c r="H33" s="33">
        <f>IF(H32,IF($K$1="Feminino",(4.95/(1.1665-(0.07063*(LOG10(H28+H29+H31))))-4.5)*100,((4.95/(1.17136-(0.06706*(LOG10(H27+H29+H30))))-4.5))*100),"")</f>
        <v>5.1008896109331126</v>
      </c>
      <c r="I33" s="32">
        <f t="shared" si="29"/>
        <v>-13.871718907441155</v>
      </c>
      <c r="J33" s="33">
        <f>IF(J32,IF($K$1="Feminino",(4.95/(1.1665-(0.07063*(LOG10(J28+J29+J31))))-4.5)*100,((4.95/(1.17136-(0.06706*(LOG10(J27+J29+J30))))-4.5))*100),"")</f>
        <v>4.3933085423256024</v>
      </c>
      <c r="K33" s="32">
        <f t="shared" si="30"/>
        <v>71.635149877061124</v>
      </c>
      <c r="L33" s="33">
        <f>IF(L32,IF($K$1="Feminino",(4.95/(1.1665-(0.07063*(LOG10(L28+L29+L31))))-4.5)*100,((4.95/(1.17136-(0.06706*(LOG10(L27+L29+L30))))-4.5))*100),"")</f>
        <v>7.5404617011822772</v>
      </c>
      <c r="M33" s="32">
        <f t="shared" si="31"/>
        <v>-57.918813921783418</v>
      </c>
      <c r="N33" s="33">
        <f>IF(N32,IF($K$1="Feminino",(4.95/(1.1665-(0.07063*(LOG10(N28+N29+N31))))-4.5)*100,((4.95/(1.17136-(0.06706*(LOG10(N27+N29+N30))))-4.5))*100),"")</f>
        <v>3.1731157196311699</v>
      </c>
      <c r="O33" s="32">
        <f t="shared" si="32"/>
        <v>9.9627946959764007</v>
      </c>
      <c r="P33" s="33">
        <f>IF(P32,IF($K$1="Feminino",(4.95/(1.1665-(0.07063*(LOG10(P28+P29+P31))))-4.5)*100,((4.95/(1.17136-(0.06706*(LOG10(P27+P29+P30))))-4.5))*100),"")</f>
        <v>3.4892467242437775</v>
      </c>
      <c r="Q33" s="32">
        <f t="shared" si="33"/>
        <v>109.51078555020398</v>
      </c>
      <c r="R33" s="33">
        <f>IF(R32,IF($K$1="Feminino",(4.95/(1.1665-(0.07063*(LOG10(R28+R29+R31))))-4.5)*100,((4.95/(1.17136-(0.06706*(LOG10(R27+R29+R30))))-4.5))*100),"")</f>
        <v>7.3103482217478977</v>
      </c>
      <c r="S33" s="32">
        <f t="shared" si="34"/>
        <v>-4.0147124013415141</v>
      </c>
      <c r="T33" s="33">
        <f>IF(T32,IF($K$1="Feminino",(4.95/(1.1665-(0.07063*(LOG10(T28+T29+T31))))-4.5)*100,((4.95/(1.17136-(0.06706*(LOG10(T27+T29+T30))))-4.5))*100),"")</f>
        <v>7.016858765108136</v>
      </c>
      <c r="U33" s="32">
        <f t="shared" si="35"/>
        <v>-1.6998758053500596</v>
      </c>
      <c r="V33" s="33">
        <f>IF(V32,IF($K$1="Feminino",(4.95/(1.1665-(0.07063*(LOG10(V28+V29+V31))))-4.5)*100,((4.95/(1.17136-(0.06706*(LOG10(V27+V29+V30))))-4.5))*100),"")</f>
        <v>6.8975808806644778</v>
      </c>
      <c r="W33" s="32">
        <f t="shared" si="36"/>
        <v>-32.135166028613135</v>
      </c>
      <c r="X33" s="33">
        <f>IF(X32,IF($K$1="Feminino",(4.95/(1.1665-(0.07063*(LOG10(X28+X29+X31))))-4.5)*100,((4.95/(1.17136-(0.06706*(LOG10(X27+X29+X30))))-4.5))*100),"")</f>
        <v>4.6810318127050721</v>
      </c>
      <c r="Y33" s="32">
        <f t="shared" si="37"/>
        <v>-4.5969739865895045</v>
      </c>
      <c r="Z33" s="33">
        <f>IF(Z32,IF($K$1="Feminino",(4.95/(1.1665-(0.07063*(LOG10(Z28+Z29+Z31))))-4.5)*100,((4.95/(1.17136-(0.06706*(LOG10(Z27+Z29+Z30))))-4.5))*100),"")</f>
        <v>4.4658459979710408</v>
      </c>
      <c r="AA33" s="32" t="e">
        <f t="shared" si="38"/>
        <v>#VALUE!</v>
      </c>
      <c r="AB33" s="33" t="e">
        <f>IF(AB32,IF($K$1="Feminino",(4.95/(1.1665-(0.07063*(LOG10(AB28+AB29+AB31))))-4.5)*100,((4.95/(1.17136-(0.06706*(LOG10(AB27+AB29+AB30))))-4.5))*100),"")</f>
        <v>#VALUE!</v>
      </c>
      <c r="AC33" s="32" t="e">
        <f t="shared" si="39"/>
        <v>#VALUE!</v>
      </c>
      <c r="AD33" s="33" t="e">
        <f>IF(AD32,IF($K$1="Feminino",(4.95/(1.1665-(0.07063*(LOG10(AD28+AD29+AD31))))-4.5)*100,((4.95/(1.17136-(0.06706*(LOG10(AD27+AD29+AD30))))-4.5))*100),"")</f>
        <v>#VALUE!</v>
      </c>
      <c r="AE33" s="32" t="e">
        <f t="shared" si="40"/>
        <v>#VALUE!</v>
      </c>
      <c r="AF33" s="33" t="e">
        <f>IF(AF32,IF($K$1="Feminino",(4.95/(1.1665-(0.07063*(LOG10(AF28+AF29+AF31))))-4.5)*100,((4.95/(1.17136-(0.06706*(LOG10(AF27+AF29+AF30))))-4.5))*100),"")</f>
        <v>#VALUE!</v>
      </c>
    </row>
    <row r="34" spans="1:32" ht="15.75" customHeight="1" outlineLevel="1">
      <c r="A34" s="304" t="s">
        <v>90</v>
      </c>
      <c r="B34" s="294"/>
      <c r="C34" s="30" t="e">
        <f ca="1">'BD tratado'!D32</f>
        <v>#NAME?</v>
      </c>
      <c r="D34" s="33">
        <f>IF(D33,D33*D10/100,"")</f>
        <v>14.284480064429831</v>
      </c>
      <c r="E34" s="32">
        <f t="shared" si="27"/>
        <v>-62.232673199041848</v>
      </c>
      <c r="F34" s="33">
        <f>IF(F33,F33*F10/100,"")</f>
        <v>5.3948662677509311</v>
      </c>
      <c r="G34" s="32">
        <f t="shared" si="28"/>
        <v>-40.716643799432205</v>
      </c>
      <c r="H34" s="33">
        <f>IF(H33,H33*H10/100,"")</f>
        <v>3.1982577860550618</v>
      </c>
      <c r="I34" s="32">
        <f t="shared" si="29"/>
        <v>-10.849673956825052</v>
      </c>
      <c r="J34" s="33">
        <f>IF(J33,J33*J10/100,"")</f>
        <v>2.8512572439693162</v>
      </c>
      <c r="K34" s="32">
        <f t="shared" si="30"/>
        <v>79.04005618916851</v>
      </c>
      <c r="L34" s="33">
        <f>IF(L33,L33*L10/100,"")</f>
        <v>5.1048925717004012</v>
      </c>
      <c r="M34" s="32">
        <f t="shared" si="31"/>
        <v>-57.980972246862017</v>
      </c>
      <c r="N34" s="33">
        <f>IF(N33,N33*N10/100,"")</f>
        <v>2.1450262264706708</v>
      </c>
      <c r="O34" s="32">
        <f t="shared" si="32"/>
        <v>9.9627946959764042</v>
      </c>
      <c r="P34" s="33">
        <f>IF(P33,P33*P10/100,"")</f>
        <v>2.3587307855887936</v>
      </c>
      <c r="Q34" s="32">
        <f t="shared" si="33"/>
        <v>119.11852867454762</v>
      </c>
      <c r="R34" s="33">
        <f>IF(R33,R33*R10/100,"")</f>
        <v>5.168416192775763</v>
      </c>
      <c r="S34" s="32">
        <f t="shared" si="34"/>
        <v>-6.3227037580277745</v>
      </c>
      <c r="T34" s="33">
        <f>IF(T33,T33*T10/100,"")</f>
        <v>4.8416325479246138</v>
      </c>
      <c r="U34" s="32">
        <f t="shared" si="35"/>
        <v>-2.2697315977828239</v>
      </c>
      <c r="V34" s="33">
        <f>IF(V33,V33*V10/100,"")</f>
        <v>4.7317404841358313</v>
      </c>
      <c r="W34" s="32">
        <f t="shared" si="36"/>
        <v>-33.718019299082798</v>
      </c>
      <c r="X34" s="33">
        <f>IF(X33,X33*X10/100,"")</f>
        <v>3.1362913145123978</v>
      </c>
      <c r="Y34" s="32">
        <f t="shared" si="37"/>
        <v>-0.32519670240693116</v>
      </c>
      <c r="Z34" s="33">
        <f>IF(Z33,Z33*Z10/100,"")</f>
        <v>3.1260921985797285</v>
      </c>
      <c r="AA34" s="32" t="e">
        <f t="shared" si="38"/>
        <v>#VALUE!</v>
      </c>
      <c r="AB34" s="33" t="e">
        <f>IF(AB33,AB33*AB10/100,"")</f>
        <v>#VALUE!</v>
      </c>
      <c r="AC34" s="32" t="e">
        <f t="shared" si="39"/>
        <v>#VALUE!</v>
      </c>
      <c r="AD34" s="33" t="e">
        <f>IF(AD33,AD33*AD10/100,"")</f>
        <v>#VALUE!</v>
      </c>
      <c r="AE34" s="32" t="e">
        <f t="shared" si="40"/>
        <v>#VALUE!</v>
      </c>
      <c r="AF34" s="33" t="e">
        <f>IF(AF33,AF33*AF10/100,"")</f>
        <v>#VALUE!</v>
      </c>
    </row>
    <row r="35" spans="1:32" ht="15.75" customHeight="1" outlineLevel="1">
      <c r="A35" s="304" t="s">
        <v>91</v>
      </c>
      <c r="B35" s="294"/>
      <c r="C35" s="30" t="e">
        <f ca="1">'BD tratado'!D33</f>
        <v>#NAME?</v>
      </c>
      <c r="D35" s="33">
        <f>IF(D34,D10-D34,"")</f>
        <v>61.415519935570174</v>
      </c>
      <c r="E35" s="32">
        <f t="shared" si="27"/>
        <v>1.9369921445375682</v>
      </c>
      <c r="F35" s="33">
        <f>IF(F34,F10-F34,"")</f>
        <v>62.605133732249072</v>
      </c>
      <c r="G35" s="32">
        <f t="shared" si="28"/>
        <v>-4.957087914829442</v>
      </c>
      <c r="H35" s="33">
        <f>IF(H34,H10-H34,"")</f>
        <v>59.501742213944944</v>
      </c>
      <c r="I35" s="32">
        <f t="shared" si="29"/>
        <v>4.2805478416543368</v>
      </c>
      <c r="J35" s="33">
        <f>IF(J34,J10-J34,"")</f>
        <v>62.048742756030691</v>
      </c>
      <c r="K35" s="32">
        <f t="shared" si="30"/>
        <v>0.88054108431682121</v>
      </c>
      <c r="L35" s="33">
        <f>IF(L34,L10-L34,"")</f>
        <v>62.595107428299599</v>
      </c>
      <c r="M35" s="32">
        <f t="shared" si="31"/>
        <v>4.5688336720335387</v>
      </c>
      <c r="N35" s="33">
        <f>IF(N34,N10-N34,"")</f>
        <v>65.454973773529318</v>
      </c>
      <c r="O35" s="32">
        <f t="shared" si="32"/>
        <v>-0.32649093995136219</v>
      </c>
      <c r="P35" s="33">
        <f>IF(P34,P10-P34,"")</f>
        <v>65.241269214411204</v>
      </c>
      <c r="Q35" s="32">
        <f t="shared" si="33"/>
        <v>0.44498612045534053</v>
      </c>
      <c r="R35" s="33">
        <f>IF(R34,R10-R34,"")</f>
        <v>65.531583807224237</v>
      </c>
      <c r="S35" s="32">
        <f t="shared" si="34"/>
        <v>-2.0955030770940581</v>
      </c>
      <c r="T35" s="33">
        <f>IF(T34,T10-T34,"")</f>
        <v>64.158367452075382</v>
      </c>
      <c r="U35" s="32">
        <f t="shared" si="35"/>
        <v>-0.452174747787846</v>
      </c>
      <c r="V35" s="33">
        <f>IF(V34,V10-V34,"")</f>
        <v>63.86825951586416</v>
      </c>
      <c r="W35" s="32">
        <f t="shared" si="36"/>
        <v>-7.1253395834722935E-3</v>
      </c>
      <c r="X35" s="33">
        <f>IF(X34,X10-X34,"")</f>
        <v>63.863708685487602</v>
      </c>
      <c r="Y35" s="32">
        <f t="shared" si="37"/>
        <v>4.7134737050069084</v>
      </c>
      <c r="Z35" s="33">
        <f>IF(Z34,Z10-Z34,"")</f>
        <v>66.873907801420273</v>
      </c>
      <c r="AA35" s="32" t="e">
        <f t="shared" si="38"/>
        <v>#VALUE!</v>
      </c>
      <c r="AB35" s="33" t="e">
        <f>IF(AB34,AB10-AB34,"")</f>
        <v>#VALUE!</v>
      </c>
      <c r="AC35" s="32" t="e">
        <f t="shared" si="39"/>
        <v>#VALUE!</v>
      </c>
      <c r="AD35" s="33" t="e">
        <f>IF(AD34,AD10-AD34,"")</f>
        <v>#VALUE!</v>
      </c>
      <c r="AE35" s="32" t="e">
        <f t="shared" si="40"/>
        <v>#VALUE!</v>
      </c>
      <c r="AF35" s="33" t="e">
        <f>IF(AF34,AF10-AF34,"")</f>
        <v>#VALUE!</v>
      </c>
    </row>
    <row r="36" spans="1:32" ht="15.75" customHeight="1" outlineLevel="1">
      <c r="A36" s="306" t="s">
        <v>92</v>
      </c>
      <c r="B36" s="294"/>
      <c r="C36" s="30" t="e">
        <f ca="1">'BD tratado'!D34</f>
        <v>#NAME?</v>
      </c>
      <c r="D36" s="31">
        <v>31.1</v>
      </c>
      <c r="E36" s="32">
        <f t="shared" si="27"/>
        <v>1.2861736334405098</v>
      </c>
      <c r="F36" s="31">
        <v>31.5</v>
      </c>
      <c r="G36" s="32">
        <f t="shared" si="28"/>
        <v>-1.9047619047619093</v>
      </c>
      <c r="H36" s="31">
        <v>30.9</v>
      </c>
      <c r="I36" s="32">
        <f t="shared" si="29"/>
        <v>8.4142394822006512</v>
      </c>
      <c r="J36" s="31">
        <v>33.5</v>
      </c>
      <c r="K36" s="32">
        <f t="shared" si="30"/>
        <v>0.29850746268657141</v>
      </c>
      <c r="L36" s="31">
        <v>33.6</v>
      </c>
      <c r="M36" s="32">
        <f t="shared" si="31"/>
        <v>1.4880952380952381</v>
      </c>
      <c r="N36" s="31">
        <v>34.1</v>
      </c>
      <c r="O36" s="32">
        <f t="shared" si="32"/>
        <v>0</v>
      </c>
      <c r="P36" s="31">
        <v>34.1</v>
      </c>
      <c r="Q36" s="32">
        <f t="shared" si="33"/>
        <v>0</v>
      </c>
      <c r="R36" s="31">
        <v>34.1</v>
      </c>
      <c r="S36" s="32">
        <f t="shared" si="34"/>
        <v>-2.0527859237536741</v>
      </c>
      <c r="T36" s="31">
        <v>33.4</v>
      </c>
      <c r="U36" s="32">
        <f t="shared" si="35"/>
        <v>2.0958083832335417</v>
      </c>
      <c r="V36" s="31">
        <v>34.1</v>
      </c>
      <c r="W36" s="32">
        <f t="shared" si="36"/>
        <v>0</v>
      </c>
      <c r="X36" s="31">
        <v>34.1</v>
      </c>
      <c r="Y36" s="32">
        <f t="shared" si="37"/>
        <v>-0.29325513196481356</v>
      </c>
      <c r="Z36" s="31">
        <v>34</v>
      </c>
      <c r="AA36" s="32" t="str">
        <f t="shared" si="38"/>
        <v>-</v>
      </c>
      <c r="AB36" s="31"/>
      <c r="AC36" s="32" t="str">
        <f t="shared" si="39"/>
        <v>-</v>
      </c>
      <c r="AD36" s="31"/>
      <c r="AE36" s="32" t="str">
        <f t="shared" si="40"/>
        <v>-</v>
      </c>
      <c r="AF36" s="31"/>
    </row>
    <row r="37" spans="1:32" ht="14.25" outlineLevel="1">
      <c r="A37" s="304" t="s">
        <v>93</v>
      </c>
      <c r="B37" s="294"/>
      <c r="C37" s="30" t="e">
        <f ca="1">'BD tratado'!D35</f>
        <v>#NAME?</v>
      </c>
      <c r="D37" s="31">
        <v>9</v>
      </c>
      <c r="E37" s="32">
        <f t="shared" si="27"/>
        <v>-11.111111111111111</v>
      </c>
      <c r="F37" s="31">
        <v>8</v>
      </c>
      <c r="G37" s="32">
        <f t="shared" si="28"/>
        <v>-75</v>
      </c>
      <c r="H37" s="31">
        <v>2</v>
      </c>
      <c r="I37" s="32">
        <f t="shared" si="29"/>
        <v>-50</v>
      </c>
      <c r="J37" s="31">
        <v>1</v>
      </c>
      <c r="K37" s="32">
        <f t="shared" si="30"/>
        <v>100</v>
      </c>
      <c r="L37" s="31">
        <v>2</v>
      </c>
      <c r="M37" s="32">
        <f t="shared" si="31"/>
        <v>0</v>
      </c>
      <c r="N37" s="31">
        <v>2</v>
      </c>
      <c r="O37" s="32">
        <f t="shared" si="32"/>
        <v>0</v>
      </c>
      <c r="P37" s="31">
        <v>2</v>
      </c>
      <c r="Q37" s="32">
        <f t="shared" si="33"/>
        <v>200</v>
      </c>
      <c r="R37" s="31">
        <v>6</v>
      </c>
      <c r="S37" s="32">
        <f t="shared" si="34"/>
        <v>50</v>
      </c>
      <c r="T37" s="31">
        <v>9</v>
      </c>
      <c r="U37" s="32">
        <f t="shared" si="35"/>
        <v>-11.111111111111111</v>
      </c>
      <c r="V37" s="31">
        <v>8</v>
      </c>
      <c r="W37" s="32">
        <f t="shared" si="36"/>
        <v>0</v>
      </c>
      <c r="X37" s="31">
        <v>8</v>
      </c>
      <c r="Y37" s="32">
        <f t="shared" si="37"/>
        <v>12.5</v>
      </c>
      <c r="Z37" s="31">
        <v>9</v>
      </c>
      <c r="AA37" s="32" t="str">
        <f t="shared" si="38"/>
        <v>-</v>
      </c>
      <c r="AB37" s="31"/>
      <c r="AC37" s="32" t="str">
        <f t="shared" si="39"/>
        <v>-</v>
      </c>
      <c r="AD37" s="31"/>
      <c r="AE37" s="32" t="str">
        <f t="shared" si="40"/>
        <v>-</v>
      </c>
      <c r="AF37" s="31"/>
    </row>
    <row r="38" spans="1:32" ht="14.25" outlineLevel="1">
      <c r="A38" s="306" t="s">
        <v>94</v>
      </c>
      <c r="B38" s="294"/>
      <c r="C38" s="30" t="e">
        <f ca="1">'BD tratado'!D36</f>
        <v>#NAME?</v>
      </c>
      <c r="D38" s="31"/>
      <c r="E38" s="32" t="str">
        <f t="shared" si="27"/>
        <v>-</v>
      </c>
      <c r="F38" s="31"/>
      <c r="G38" s="32" t="str">
        <f t="shared" si="28"/>
        <v>-</v>
      </c>
      <c r="H38" s="31"/>
      <c r="I38" s="32" t="str">
        <f t="shared" si="29"/>
        <v>-</v>
      </c>
      <c r="J38" s="31"/>
      <c r="K38" s="32" t="str">
        <f t="shared" si="30"/>
        <v>-</v>
      </c>
      <c r="L38" s="31"/>
      <c r="M38" s="32" t="str">
        <f t="shared" si="31"/>
        <v>-</v>
      </c>
      <c r="N38" s="31"/>
      <c r="O38" s="32" t="str">
        <f t="shared" si="32"/>
        <v>-</v>
      </c>
      <c r="P38" s="31">
        <v>1498</v>
      </c>
      <c r="Q38" s="32">
        <f t="shared" si="33"/>
        <v>11.348464619492656</v>
      </c>
      <c r="R38" s="31">
        <v>1668</v>
      </c>
      <c r="S38" s="32">
        <f t="shared" si="34"/>
        <v>-1.7386091127098322</v>
      </c>
      <c r="T38" s="31">
        <v>1639</v>
      </c>
      <c r="U38" s="32">
        <f t="shared" si="35"/>
        <v>0</v>
      </c>
      <c r="V38" s="31">
        <v>1639</v>
      </c>
      <c r="W38" s="32">
        <f t="shared" si="36"/>
        <v>-2.3184868822452716</v>
      </c>
      <c r="X38" s="31">
        <v>1601</v>
      </c>
      <c r="Y38" s="32">
        <f t="shared" si="37"/>
        <v>1.811367895065584</v>
      </c>
      <c r="Z38" s="31">
        <v>1630</v>
      </c>
      <c r="AA38" s="32" t="str">
        <f t="shared" si="38"/>
        <v>-</v>
      </c>
      <c r="AB38" s="31"/>
      <c r="AC38" s="32" t="str">
        <f t="shared" si="39"/>
        <v>-</v>
      </c>
      <c r="AD38" s="31"/>
      <c r="AE38" s="32" t="str">
        <f t="shared" si="40"/>
        <v>-</v>
      </c>
      <c r="AF38" s="31"/>
    </row>
    <row r="39" spans="1:32" ht="14.25" outlineLevel="1">
      <c r="A39" s="306" t="s">
        <v>95</v>
      </c>
      <c r="B39" s="294"/>
      <c r="C39" s="30" t="e">
        <f ca="1">'BD tratado'!D37</f>
        <v>#NAME?</v>
      </c>
      <c r="D39" s="33">
        <f>IF(D10,IF($K$1="Masculino",66.5+(13.75*D10)+(5.003*D11)-(6.775*D7),655.1+(9.563*D10)+(1.85*D11)-(4.676*D7)),"")</f>
        <v>1639.9184</v>
      </c>
      <c r="E39" s="32">
        <f t="shared" si="27"/>
        <v>-7.1133051498172071</v>
      </c>
      <c r="F39" s="33">
        <f>IF(F10,IF($K$1="Masculino",66.5+(13.75*F10)+(5.003*F11)-(6.775*F7),655.1+(9.563*F10)+(1.85*F11)-(4.676*F7)),"")</f>
        <v>1523.2660000000001</v>
      </c>
      <c r="G39" s="32">
        <f t="shared" si="28"/>
        <v>-4.7841283137679165</v>
      </c>
      <c r="H39" s="33">
        <f>IF(H10,IF($K$1="Masculino",66.5+(13.75*H10)+(5.003*H11)-(6.775*H7),655.1+(9.563*H10)+(1.85*H11)-(4.676*H7)),"")</f>
        <v>1450.3910000000001</v>
      </c>
      <c r="I39" s="32">
        <f t="shared" si="29"/>
        <v>2.0856444917267134</v>
      </c>
      <c r="J39" s="33">
        <f>IF(J10,IF($K$1="Masculino",66.5+(13.75*J10)+(5.003*J11)-(6.775*J7),655.1+(9.563*J10)+(1.85*J11)-(4.676*J7)),"")</f>
        <v>1480.6410000000001</v>
      </c>
      <c r="K39" s="32">
        <f t="shared" si="30"/>
        <v>2.1426530806589787</v>
      </c>
      <c r="L39" s="33">
        <f>IF(L10,IF($K$1="Masculino",66.5+(13.75*L10)+(5.003*L11)-(6.775*L7),655.1+(9.563*L10)+(1.85*L11)-(4.676*L7)),"")</f>
        <v>1512.366</v>
      </c>
      <c r="M39" s="32">
        <f t="shared" si="31"/>
        <v>-9.0917145717372652E-2</v>
      </c>
      <c r="N39" s="33">
        <f>IF(N10,IF($K$1="Masculino",66.5+(13.75*N10)+(5.003*N11)-(6.775*N7),655.1+(9.563*N10)+(1.85*N11)-(4.676*N7)),"")</f>
        <v>1510.991</v>
      </c>
      <c r="O39" s="32">
        <f t="shared" si="32"/>
        <v>-0.44838122794906543</v>
      </c>
      <c r="P39" s="33">
        <f>IF(P10,IF($K$1="Masculino",66.5+(13.75*P10)+(5.003*P11)-(6.775*P7),655.1+(9.563*P10)+(1.85*P11)-(4.676*P7)),"")</f>
        <v>1504.2160000000001</v>
      </c>
      <c r="Q39" s="32">
        <f t="shared" si="33"/>
        <v>2.8337020747020372</v>
      </c>
      <c r="R39" s="33">
        <f>IF(R10,IF($K$1="Masculino",66.5+(13.75*R10)+(5.003*R11)-(6.775*R7),655.1+(9.563*R10)+(1.85*R11)-(4.676*R7)),"")</f>
        <v>1546.8410000000001</v>
      </c>
      <c r="S39" s="32">
        <f t="shared" si="34"/>
        <v>-1.9491337506569899</v>
      </c>
      <c r="T39" s="33">
        <f>IF(T10,IF($K$1="Masculino",66.5+(13.75*T10)+(5.003*T11)-(6.775*T7),655.1+(9.563*T10)+(1.85*T11)-(4.676*T7)),"")</f>
        <v>1516.691</v>
      </c>
      <c r="U39" s="32">
        <f t="shared" si="35"/>
        <v>-0.36263154459280106</v>
      </c>
      <c r="V39" s="33">
        <f>IF(V10,IF($K$1="Masculino",66.5+(13.75*V10)+(5.003*V11)-(6.775*V7),655.1+(9.563*V10)+(1.85*V11)-(4.676*V7)),"")</f>
        <v>1511.191</v>
      </c>
      <c r="W39" s="32">
        <f t="shared" si="36"/>
        <v>-1.4558053879357407</v>
      </c>
      <c r="X39" s="33">
        <f>IF(X10,IF($K$1="Masculino",66.5+(13.75*X10)+(5.003*X11)-(6.775*X7),655.1+(9.563*X10)+(1.85*X11)-(4.676*X7)),"")</f>
        <v>1489.191</v>
      </c>
      <c r="Y39" s="32">
        <f t="shared" si="37"/>
        <v>2.7699603341680148</v>
      </c>
      <c r="Z39" s="33">
        <f>IF(Z10,IF($K$1="Masculino",66.5+(13.75*Z10)+(5.003*Z11)-(6.775*Z7),655.1+(9.563*Z10)+(1.85*Z11)-(4.676*Z7)),"")</f>
        <v>1530.441</v>
      </c>
      <c r="AA39" s="32" t="str">
        <f t="shared" si="38"/>
        <v>-</v>
      </c>
      <c r="AB39" s="33" t="str">
        <f>IF(AB10,IF($K$1="Masculino",66.5+(13.75*AB10)+(5.003*AB11)-(6.775*AB7),655.1+(9.563*AB10)+(1.85*AB11)-(4.676*AB7)),"")</f>
        <v/>
      </c>
      <c r="AC39" s="32" t="str">
        <f t="shared" si="39"/>
        <v>-</v>
      </c>
      <c r="AD39" s="33" t="str">
        <f>IF(AD10,IF($K$1="Masculino",66.5+(13.75*AD10)+(5.003*AD11)-(6.775*AD7),655.1+(9.563*AD10)+(1.85*AD11)-(4.676*AD7)),"")</f>
        <v/>
      </c>
      <c r="AE39" s="32" t="str">
        <f t="shared" si="40"/>
        <v>-</v>
      </c>
      <c r="AF39" s="33" t="str">
        <f>IF(AF10,IF($K$1="Masculino",66.5+(13.75*AF10)+(5.003*AF11)-(6.775*AF7),655.1+(9.563*AF10)+(1.85*AF11)-(4.676*AF7)),"")</f>
        <v/>
      </c>
    </row>
    <row r="40" spans="1:32" ht="14.25" outlineLevel="1">
      <c r="A40" s="306" t="s">
        <v>96</v>
      </c>
      <c r="B40" s="294"/>
      <c r="C40" s="30" t="e">
        <f ca="1">'BD tratado'!D38</f>
        <v>#NAME?</v>
      </c>
      <c r="D40" s="33">
        <f>IF(D39,AVERAGE(D38:D39),"")</f>
        <v>1639.9184</v>
      </c>
      <c r="E40" s="32">
        <f t="shared" si="27"/>
        <v>-7.1133051498172071</v>
      </c>
      <c r="F40" s="33">
        <f>IF(F39,AVERAGE(F38:F39),"")</f>
        <v>1523.2660000000001</v>
      </c>
      <c r="G40" s="32">
        <f t="shared" si="28"/>
        <v>-4.7841283137679165</v>
      </c>
      <c r="H40" s="33">
        <f>IF(H39,AVERAGE(H38:H39),"")</f>
        <v>1450.3910000000001</v>
      </c>
      <c r="I40" s="32">
        <f t="shared" si="29"/>
        <v>2.0856444917267134</v>
      </c>
      <c r="J40" s="33">
        <f>IF(J39,AVERAGE(J38:J39),"")</f>
        <v>1480.6410000000001</v>
      </c>
      <c r="K40" s="32">
        <f t="shared" si="30"/>
        <v>2.1426530806589787</v>
      </c>
      <c r="L40" s="33">
        <f>IF(L39,AVERAGE(L38:L39),"")</f>
        <v>1512.366</v>
      </c>
      <c r="M40" s="32">
        <f t="shared" si="31"/>
        <v>-9.0917145717372652E-2</v>
      </c>
      <c r="N40" s="33">
        <f>IF(N39,AVERAGE(N38:N39),"")</f>
        <v>1510.991</v>
      </c>
      <c r="O40" s="32">
        <f t="shared" si="32"/>
        <v>-0.65407404809160419</v>
      </c>
      <c r="P40" s="33">
        <f>IF(P39,AVERAGE(P38:P39),"")</f>
        <v>1501.1080000000002</v>
      </c>
      <c r="Q40" s="32">
        <f t="shared" si="33"/>
        <v>7.0822685642871788</v>
      </c>
      <c r="R40" s="33">
        <f>IF(R39,AVERAGE(R38:R39),"")</f>
        <v>1607.4205000000002</v>
      </c>
      <c r="S40" s="32">
        <f t="shared" si="34"/>
        <v>-1.839904368520886</v>
      </c>
      <c r="T40" s="33">
        <f>IF(T39,AVERAGE(T38:T39),"")</f>
        <v>1577.8454999999999</v>
      </c>
      <c r="U40" s="32">
        <f t="shared" si="35"/>
        <v>-0.17428829375246183</v>
      </c>
      <c r="V40" s="33">
        <f>IF(V39,AVERAGE(V38:V39),"")</f>
        <v>1575.0954999999999</v>
      </c>
      <c r="W40" s="32">
        <f t="shared" si="36"/>
        <v>-1.904646416677592</v>
      </c>
      <c r="X40" s="33">
        <f>IF(X39,AVERAGE(X38:X39),"")</f>
        <v>1545.0954999999999</v>
      </c>
      <c r="Y40" s="32">
        <f t="shared" si="37"/>
        <v>2.2733222638988981</v>
      </c>
      <c r="Z40" s="33">
        <f>IF(Z39,AVERAGE(Z38:Z39),"")</f>
        <v>1580.2204999999999</v>
      </c>
      <c r="AA40" s="32" t="e">
        <f t="shared" si="38"/>
        <v>#VALUE!</v>
      </c>
      <c r="AB40" s="33" t="e">
        <f>IF(AB39,AVERAGE(AB38:AB39),"")</f>
        <v>#VALUE!</v>
      </c>
      <c r="AC40" s="32" t="e">
        <f t="shared" si="39"/>
        <v>#VALUE!</v>
      </c>
      <c r="AD40" s="33" t="e">
        <f>IF(AD39,AVERAGE(AD38:AD39),"")</f>
        <v>#VALUE!</v>
      </c>
      <c r="AE40" s="32" t="e">
        <f t="shared" si="40"/>
        <v>#VALUE!</v>
      </c>
      <c r="AF40" s="33" t="e">
        <f>IF(AF39,AVERAGE(AF38:AF39),"")</f>
        <v>#VALUE!</v>
      </c>
    </row>
    <row r="41" spans="1:32" ht="14.25" outlineLevel="1">
      <c r="A41" s="304" t="s">
        <v>97</v>
      </c>
      <c r="B41" s="294"/>
      <c r="C41" s="30" t="e">
        <f ca="1">'BD tratado'!D39</f>
        <v>#NAME?</v>
      </c>
      <c r="D41" s="33">
        <f>IF(D19,((D19-((D27/10)*3.1416))^2)/12.5664,"")</f>
        <v>57.943381553674563</v>
      </c>
      <c r="E41" s="32">
        <f t="shared" si="27"/>
        <v>29.273927171962686</v>
      </c>
      <c r="F41" s="33">
        <f>IF(F19,((F19-((F27/10)*3.1416))^2)/12.5664,"")</f>
        <v>74.905684870669717</v>
      </c>
      <c r="G41" s="32">
        <f t="shared" si="28"/>
        <v>-12.229330754817056</v>
      </c>
      <c r="H41" s="33">
        <f>IF(H19,((H19-((H27/10)*3.1416))^2)/12.5664,"")</f>
        <v>65.745220913674558</v>
      </c>
      <c r="I41" s="32">
        <f t="shared" si="29"/>
        <v>7.5320488762826061</v>
      </c>
      <c r="J41" s="33">
        <f>IF(J19,((J19-((J27/10)*3.1416))^2)/12.5664,"")</f>
        <v>70.697183086712499</v>
      </c>
      <c r="K41" s="32">
        <f t="shared" si="30"/>
        <v>6.387271779157965</v>
      </c>
      <c r="L41" s="33">
        <f>IF(L19,((L19-((L27/10)*3.1416))^2)/12.5664,"")</f>
        <v>75.212804310669725</v>
      </c>
      <c r="M41" s="32">
        <f t="shared" si="31"/>
        <v>-4.8111595586974873</v>
      </c>
      <c r="N41" s="33">
        <f>IF(N19,((N19-((N27/10)*3.1416))^2)/12.5664,"")</f>
        <v>71.594196286712503</v>
      </c>
      <c r="O41" s="32">
        <f t="shared" si="32"/>
        <v>6.778997789878094</v>
      </c>
      <c r="P41" s="33">
        <f>IF(P19,((P19-((P27/10)*3.1416))^2)/12.5664,"")</f>
        <v>76.447565270669728</v>
      </c>
      <c r="Q41" s="32">
        <f t="shared" si="33"/>
        <v>4.8133040538302136</v>
      </c>
      <c r="R41" s="33">
        <f>IF(R19,((R19-((R27/10)*3.1416))^2)/12.5664,"")</f>
        <v>80.127219028897372</v>
      </c>
      <c r="S41" s="32">
        <f t="shared" si="34"/>
        <v>-4.978690795182775</v>
      </c>
      <c r="T41" s="33">
        <f>IF(T19,((T19-((T27/10)*3.1416))^2)/12.5664,"")</f>
        <v>76.137932550669717</v>
      </c>
      <c r="U41" s="32">
        <f t="shared" si="35"/>
        <v>0</v>
      </c>
      <c r="V41" s="33">
        <f>IF(V19,((V19-((V27/10)*3.1416))^2)/12.5664,"")</f>
        <v>76.137932550669717</v>
      </c>
      <c r="W41" s="32" t="str">
        <f t="shared" si="36"/>
        <v>-</v>
      </c>
      <c r="X41" s="33" t="str">
        <f>IF(X19,((X19-((X27/10)*3.1416))^2)/12.5664,"")</f>
        <v/>
      </c>
      <c r="Y41" s="32" t="str">
        <f t="shared" si="37"/>
        <v>-</v>
      </c>
      <c r="Z41" s="33" t="str">
        <f>IF(Z19,((Z19-((Z27/10)*3.1416))^2)/12.5664,"")</f>
        <v/>
      </c>
      <c r="AA41" s="32" t="str">
        <f t="shared" si="38"/>
        <v>-</v>
      </c>
      <c r="AB41" s="33" t="str">
        <f>IF(AB19,((AB19-((AB27/10)*3.1416))^2)/12.5664,"")</f>
        <v/>
      </c>
      <c r="AC41" s="32" t="str">
        <f t="shared" si="39"/>
        <v>-</v>
      </c>
      <c r="AD41" s="33" t="str">
        <f>IF(AD19,((AD19-((AD27/10)*3.1416))^2)/12.5664,"")</f>
        <v/>
      </c>
      <c r="AE41" s="32" t="str">
        <f t="shared" si="40"/>
        <v>-</v>
      </c>
      <c r="AF41" s="33" t="str">
        <f>IF(AF19,((AF19-((AF27/10)*3.1416))^2)/12.5664,"")</f>
        <v/>
      </c>
    </row>
    <row r="42" spans="1:32" ht="14.25" outlineLevel="1">
      <c r="A42" s="304" t="s">
        <v>98</v>
      </c>
      <c r="B42" s="294"/>
      <c r="C42" s="30" t="e">
        <f ca="1">'BD tratado'!D40</f>
        <v>#NAME?</v>
      </c>
      <c r="D42" s="33">
        <f>IF(D10,D10/((D11/100)^2),"")</f>
        <v>25.35177683470507</v>
      </c>
      <c r="E42" s="32">
        <f t="shared" si="27"/>
        <v>-9.3341754227533933</v>
      </c>
      <c r="F42" s="33">
        <f>IF(F10,F10/((F11/100)^2),"")</f>
        <v>22.985397512168742</v>
      </c>
      <c r="G42" s="32">
        <f t="shared" si="28"/>
        <v>-7.7941176470588154</v>
      </c>
      <c r="H42" s="33">
        <f>IF(H10,H10/((H11/100)^2),"")</f>
        <v>21.19388858842618</v>
      </c>
      <c r="I42" s="32">
        <f t="shared" si="29"/>
        <v>3.508771929824571</v>
      </c>
      <c r="J42" s="33">
        <f>IF(J10,J10/((J11/100)^2),"")</f>
        <v>21.937533802055171</v>
      </c>
      <c r="K42" s="32">
        <f t="shared" si="30"/>
        <v>4.3143297380585368</v>
      </c>
      <c r="L42" s="33">
        <f>IF(L10,L10/((L11/100)^2),"")</f>
        <v>22.883991346673881</v>
      </c>
      <c r="M42" s="32">
        <f t="shared" si="31"/>
        <v>-0.14771048744461251</v>
      </c>
      <c r="N42" s="33">
        <f>IF(N10,N10/((N11/100)^2),"")</f>
        <v>22.850189291508926</v>
      </c>
      <c r="O42" s="32">
        <f t="shared" si="32"/>
        <v>0</v>
      </c>
      <c r="P42" s="33">
        <f>IF(P10,P10/((P11/100)^2),"")</f>
        <v>22.850189291508926</v>
      </c>
      <c r="Q42" s="32">
        <f t="shared" si="33"/>
        <v>4.5857988165680457</v>
      </c>
      <c r="R42" s="33">
        <f>IF(R10,R10/((R11/100)^2),"")</f>
        <v>23.8980530016225</v>
      </c>
      <c r="S42" s="32">
        <f t="shared" si="34"/>
        <v>-2.4045261669023947</v>
      </c>
      <c r="T42" s="33">
        <f>IF(T10,T10/((T11/100)^2),"")</f>
        <v>23.323418063818284</v>
      </c>
      <c r="U42" s="32">
        <f t="shared" si="35"/>
        <v>-0.57971014492755168</v>
      </c>
      <c r="V42" s="33">
        <f>IF(V10,V10/((V11/100)^2),"")</f>
        <v>23.188209843158464</v>
      </c>
      <c r="W42" s="32">
        <f t="shared" si="36"/>
        <v>-2.3323615160349713</v>
      </c>
      <c r="X42" s="33">
        <f>IF(X10,X10/((X11/100)^2),"")</f>
        <v>22.647376960519203</v>
      </c>
      <c r="Y42" s="32">
        <f t="shared" si="37"/>
        <v>4.4776119402985017</v>
      </c>
      <c r="Z42" s="33">
        <f>IF(Z10,Z10/((Z11/100)^2),"")</f>
        <v>23.661438615467823</v>
      </c>
      <c r="AA42" s="32" t="str">
        <f t="shared" si="38"/>
        <v>-</v>
      </c>
      <c r="AB42" s="33" t="str">
        <f>IF(AB10,AB10/((AB11/100)^2),"")</f>
        <v/>
      </c>
      <c r="AC42" s="32" t="str">
        <f t="shared" si="39"/>
        <v>-</v>
      </c>
      <c r="AD42" s="33" t="str">
        <f>IF(AD10,AD10/((AD11/100)^2),"")</f>
        <v/>
      </c>
      <c r="AE42" s="32" t="str">
        <f t="shared" si="40"/>
        <v>-</v>
      </c>
      <c r="AF42" s="33" t="str">
        <f>IF(AF10,AF10/((AF11/100)^2),"")</f>
        <v/>
      </c>
    </row>
    <row r="43" spans="1:32" ht="14.25">
      <c r="A43" s="303" t="s">
        <v>99</v>
      </c>
      <c r="B43" s="294"/>
      <c r="C43" s="15"/>
      <c r="D43" s="33"/>
      <c r="E43" s="32"/>
      <c r="F43" s="33"/>
      <c r="G43" s="32"/>
      <c r="H43" s="33"/>
      <c r="I43" s="32"/>
      <c r="J43" s="33"/>
      <c r="K43" s="32"/>
      <c r="L43" s="33"/>
      <c r="M43" s="32"/>
      <c r="N43" s="33"/>
      <c r="O43" s="32"/>
      <c r="P43" s="33"/>
      <c r="Q43" s="32"/>
      <c r="R43" s="33"/>
      <c r="S43" s="32"/>
      <c r="T43" s="33"/>
      <c r="U43" s="32"/>
      <c r="V43" s="33"/>
      <c r="W43" s="32"/>
      <c r="X43" s="33"/>
      <c r="Y43" s="32"/>
      <c r="Z43" s="33"/>
      <c r="AA43" s="32"/>
      <c r="AB43" s="33"/>
      <c r="AC43" s="32"/>
      <c r="AD43" s="33"/>
      <c r="AE43" s="32"/>
      <c r="AF43" s="33"/>
    </row>
    <row r="44" spans="1:32" ht="14.25" outlineLevel="1">
      <c r="A44" s="306" t="s">
        <v>100</v>
      </c>
      <c r="B44" s="294"/>
      <c r="C44" s="30" t="e">
        <f ca="1">'BD tratado'!D42</f>
        <v>#NAME?</v>
      </c>
      <c r="D44" s="31">
        <v>30.7</v>
      </c>
      <c r="E44" s="32">
        <f t="shared" ref="E44:E61" si="41">IF(OR(D44="",F44="",D44="-",F44="-"),"-",(F44-D44)*100/D44)</f>
        <v>8.469055374592827</v>
      </c>
      <c r="F44" s="31">
        <v>33.299999999999997</v>
      </c>
      <c r="G44" s="32">
        <f t="shared" ref="G44:G61" si="42">IF(OR(F44="",H44="",F44="-",H44="-"),"-",(H44-F44)*100/F44)</f>
        <v>-21.62162162162161</v>
      </c>
      <c r="H44" s="31">
        <v>26.1</v>
      </c>
      <c r="I44" s="32">
        <f t="shared" ref="I44:I61" si="43">IF(OR(H44="",J44="",H44="-",J44="-"),"-",(J44-H44)*100/H44)</f>
        <v>20.689655172413786</v>
      </c>
      <c r="J44" s="31">
        <v>31.5</v>
      </c>
      <c r="K44" s="32">
        <f t="shared" ref="K44:K61" si="44">IF(OR(J44="",L44="",J44="-",L44="-"),"-",(L44-J44)*100/J44)</f>
        <v>16.190476190476193</v>
      </c>
      <c r="L44" s="31">
        <v>36.6</v>
      </c>
      <c r="M44" s="32" t="str">
        <f t="shared" ref="M44:M61" si="45">IF(OR(L44="",N44="",L44="-",N44="-"),"-",(N44-L44)*100/L44)</f>
        <v>-</v>
      </c>
      <c r="N44" s="31"/>
      <c r="O44" s="32" t="str">
        <f t="shared" ref="O44:O61" si="46">IF(OR(N44="",P44="",N44="-",P44="-"),"-",(P44-N44)*100/N44)</f>
        <v>-</v>
      </c>
      <c r="P44" s="31">
        <v>31.6</v>
      </c>
      <c r="Q44" s="32">
        <f t="shared" ref="Q44:Q61" si="47">IF(OR(P44="",R44="",P44="-",R44="-"),"-",(R44-P44)*100/P44)</f>
        <v>4.4303797468354382</v>
      </c>
      <c r="R44" s="31">
        <v>33</v>
      </c>
      <c r="S44" s="32" t="str">
        <f t="shared" ref="S44:S61" si="48">IF(OR(R44="",T44="",R44="-",T44="-"),"-",(T44-R44)*100/R44)</f>
        <v>-</v>
      </c>
      <c r="T44" s="31"/>
      <c r="U44" s="32" t="str">
        <f t="shared" ref="U44:U61" si="49">IF(OR(T44="",V44="",T44="-",V44="-"),"-",(V44-T44)*100/T44)</f>
        <v>-</v>
      </c>
      <c r="V44" s="31">
        <v>35.200000000000003</v>
      </c>
      <c r="W44" s="32" t="str">
        <f t="shared" ref="W44:W61" si="50">IF(OR(V44="",X44="",V44="-",X44="-"),"-",(X44-V44)*100/V44)</f>
        <v>-</v>
      </c>
      <c r="X44" s="31"/>
      <c r="Y44" s="32" t="str">
        <f t="shared" ref="Y44:Y61" si="51">IF(OR(X44="",Z44="",X44="-",Z44="-"),"-",(Z44-X44)*100/X44)</f>
        <v>-</v>
      </c>
      <c r="Z44" s="31"/>
      <c r="AA44" s="32" t="str">
        <f t="shared" ref="AA44:AA61" si="52">IF(OR(Z44="",AB44="",Z44="-",AB44="-"),"-",(AB44-Z44)*100/Z44)</f>
        <v>-</v>
      </c>
      <c r="AB44" s="31"/>
      <c r="AC44" s="32" t="str">
        <f t="shared" ref="AC44:AC61" si="53">IF(OR(AB44="",AD44="",AB44="-",AD44="-"),"-",(AD44-AB44)*100/AB44)</f>
        <v>-</v>
      </c>
      <c r="AD44" s="31"/>
      <c r="AE44" s="32" t="str">
        <f t="shared" ref="AE44:AE61" si="54">IF(OR(AD44="",AF44="",AD44="-",AF44="-"),"-",(AF44-AD44)*100/AD44)</f>
        <v>-</v>
      </c>
      <c r="AF44" s="31"/>
    </row>
    <row r="45" spans="1:32" ht="14.25" outlineLevel="1">
      <c r="A45" s="306" t="s">
        <v>101</v>
      </c>
      <c r="B45" s="294"/>
      <c r="C45" s="30" t="e">
        <f ca="1">'BD tratado'!D43</f>
        <v>#NAME?</v>
      </c>
      <c r="D45" s="31"/>
      <c r="E45" s="32" t="str">
        <f t="shared" si="41"/>
        <v>-</v>
      </c>
      <c r="F45" s="31"/>
      <c r="G45" s="32" t="str">
        <f t="shared" si="42"/>
        <v>-</v>
      </c>
      <c r="H45" s="31"/>
      <c r="I45" s="32" t="str">
        <f t="shared" si="43"/>
        <v>-</v>
      </c>
      <c r="J45" s="31"/>
      <c r="K45" s="32" t="str">
        <f t="shared" si="44"/>
        <v>-</v>
      </c>
      <c r="L45" s="31"/>
      <c r="M45" s="32" t="str">
        <f t="shared" si="45"/>
        <v>-</v>
      </c>
      <c r="N45" s="31"/>
      <c r="O45" s="32" t="str">
        <f t="shared" si="46"/>
        <v>-</v>
      </c>
      <c r="P45" s="31"/>
      <c r="Q45" s="32" t="str">
        <f t="shared" si="47"/>
        <v>-</v>
      </c>
      <c r="R45" s="31"/>
      <c r="S45" s="32" t="str">
        <f t="shared" si="48"/>
        <v>-</v>
      </c>
      <c r="T45" s="31"/>
      <c r="U45" s="32" t="str">
        <f t="shared" si="49"/>
        <v>-</v>
      </c>
      <c r="V45" s="31"/>
      <c r="W45" s="32" t="str">
        <f t="shared" si="50"/>
        <v>-</v>
      </c>
      <c r="X45" s="31"/>
      <c r="Y45" s="32" t="str">
        <f t="shared" si="51"/>
        <v>-</v>
      </c>
      <c r="Z45" s="31"/>
      <c r="AA45" s="32" t="str">
        <f t="shared" si="52"/>
        <v>-</v>
      </c>
      <c r="AB45" s="31"/>
      <c r="AC45" s="32" t="str">
        <f t="shared" si="53"/>
        <v>-</v>
      </c>
      <c r="AD45" s="31"/>
      <c r="AE45" s="32" t="str">
        <f t="shared" si="54"/>
        <v>-</v>
      </c>
      <c r="AF45" s="31"/>
    </row>
    <row r="46" spans="1:32" ht="14.25" outlineLevel="1">
      <c r="A46" s="306" t="s">
        <v>102</v>
      </c>
      <c r="B46" s="294"/>
      <c r="C46" s="30" t="e">
        <f ca="1">'BD tratado'!D44</f>
        <v>#NAME?</v>
      </c>
      <c r="D46" s="31"/>
      <c r="E46" s="32" t="str">
        <f t="shared" si="41"/>
        <v>-</v>
      </c>
      <c r="F46" s="31"/>
      <c r="G46" s="32" t="str">
        <f t="shared" si="42"/>
        <v>-</v>
      </c>
      <c r="H46" s="31"/>
      <c r="I46" s="32" t="str">
        <f t="shared" si="43"/>
        <v>-</v>
      </c>
      <c r="J46" s="31"/>
      <c r="K46" s="32" t="str">
        <f t="shared" si="44"/>
        <v>-</v>
      </c>
      <c r="L46" s="31"/>
      <c r="M46" s="32" t="str">
        <f t="shared" si="45"/>
        <v>-</v>
      </c>
      <c r="N46" s="31"/>
      <c r="O46" s="32" t="str">
        <f t="shared" si="46"/>
        <v>-</v>
      </c>
      <c r="P46" s="31"/>
      <c r="Q46" s="32" t="str">
        <f t="shared" si="47"/>
        <v>-</v>
      </c>
      <c r="R46" s="31"/>
      <c r="S46" s="32" t="str">
        <f t="shared" si="48"/>
        <v>-</v>
      </c>
      <c r="T46" s="31"/>
      <c r="U46" s="32" t="str">
        <f t="shared" si="49"/>
        <v>-</v>
      </c>
      <c r="V46" s="31"/>
      <c r="W46" s="32" t="str">
        <f t="shared" si="50"/>
        <v>-</v>
      </c>
      <c r="X46" s="31"/>
      <c r="Y46" s="32" t="str">
        <f t="shared" si="51"/>
        <v>-</v>
      </c>
      <c r="Z46" s="31"/>
      <c r="AA46" s="32" t="str">
        <f t="shared" si="52"/>
        <v>-</v>
      </c>
      <c r="AB46" s="31"/>
      <c r="AC46" s="32" t="str">
        <f t="shared" si="53"/>
        <v>-</v>
      </c>
      <c r="AD46" s="31"/>
      <c r="AE46" s="32" t="str">
        <f t="shared" si="54"/>
        <v>-</v>
      </c>
      <c r="AF46" s="31"/>
    </row>
    <row r="47" spans="1:32" ht="14.25" outlineLevel="1">
      <c r="A47" s="306" t="s">
        <v>103</v>
      </c>
      <c r="B47" s="294"/>
      <c r="C47" s="30" t="e">
        <f ca="1">'BD tratado'!D45</f>
        <v>#NAME?</v>
      </c>
      <c r="D47" s="31"/>
      <c r="E47" s="32" t="str">
        <f t="shared" si="41"/>
        <v>-</v>
      </c>
      <c r="F47" s="31"/>
      <c r="G47" s="32" t="str">
        <f t="shared" si="42"/>
        <v>-</v>
      </c>
      <c r="H47" s="31"/>
      <c r="I47" s="32" t="str">
        <f t="shared" si="43"/>
        <v>-</v>
      </c>
      <c r="J47" s="31"/>
      <c r="K47" s="32" t="str">
        <f t="shared" si="44"/>
        <v>-</v>
      </c>
      <c r="L47" s="31"/>
      <c r="M47" s="32" t="str">
        <f t="shared" si="45"/>
        <v>-</v>
      </c>
      <c r="N47" s="31"/>
      <c r="O47" s="32" t="str">
        <f t="shared" si="46"/>
        <v>-</v>
      </c>
      <c r="P47" s="31"/>
      <c r="Q47" s="32" t="str">
        <f t="shared" si="47"/>
        <v>-</v>
      </c>
      <c r="R47" s="31"/>
      <c r="S47" s="32" t="str">
        <f t="shared" si="48"/>
        <v>-</v>
      </c>
      <c r="T47" s="31"/>
      <c r="U47" s="32" t="str">
        <f t="shared" si="49"/>
        <v>-</v>
      </c>
      <c r="V47" s="31"/>
      <c r="W47" s="32" t="str">
        <f t="shared" si="50"/>
        <v>-</v>
      </c>
      <c r="X47" s="31"/>
      <c r="Y47" s="32" t="str">
        <f t="shared" si="51"/>
        <v>-</v>
      </c>
      <c r="Z47" s="31"/>
      <c r="AA47" s="32" t="str">
        <f t="shared" si="52"/>
        <v>-</v>
      </c>
      <c r="AB47" s="31"/>
      <c r="AC47" s="32" t="str">
        <f t="shared" si="53"/>
        <v>-</v>
      </c>
      <c r="AD47" s="31"/>
      <c r="AE47" s="32" t="str">
        <f t="shared" si="54"/>
        <v>-</v>
      </c>
      <c r="AF47" s="31"/>
    </row>
    <row r="48" spans="1:32" ht="14.25" outlineLevel="1">
      <c r="A48" s="306" t="s">
        <v>104</v>
      </c>
      <c r="B48" s="294"/>
      <c r="C48" s="30" t="e">
        <f ca="1">'BD tratado'!D46</f>
        <v>#NAME?</v>
      </c>
      <c r="D48" s="33">
        <f>IF(D44,AVERAGE(D44:D47),"")</f>
        <v>30.7</v>
      </c>
      <c r="E48" s="32">
        <f t="shared" si="41"/>
        <v>8.469055374592827</v>
      </c>
      <c r="F48" s="33">
        <f>IF(F44,AVERAGE(F44:F47),"")</f>
        <v>33.299999999999997</v>
      </c>
      <c r="G48" s="32">
        <f t="shared" si="42"/>
        <v>-21.62162162162161</v>
      </c>
      <c r="H48" s="33">
        <f>IF(H44,AVERAGE(H44:H47),"")</f>
        <v>26.1</v>
      </c>
      <c r="I48" s="32">
        <f t="shared" si="43"/>
        <v>20.689655172413786</v>
      </c>
      <c r="J48" s="33">
        <f>IF(J44,AVERAGE(J44:J47),"")</f>
        <v>31.5</v>
      </c>
      <c r="K48" s="32">
        <f t="shared" si="44"/>
        <v>16.190476190476193</v>
      </c>
      <c r="L48" s="33">
        <f>IF(L44,AVERAGE(L44:L47),"")</f>
        <v>36.6</v>
      </c>
      <c r="M48" s="32" t="str">
        <f t="shared" si="45"/>
        <v>-</v>
      </c>
      <c r="N48" s="15" t="str">
        <f>IF(N44,AVERAGE(N44:N47),"")</f>
        <v/>
      </c>
      <c r="O48" s="32" t="str">
        <f t="shared" si="46"/>
        <v>-</v>
      </c>
      <c r="P48" s="33">
        <f>IF(P44,AVERAGE(P44:P47),"")</f>
        <v>31.6</v>
      </c>
      <c r="Q48" s="32">
        <f t="shared" si="47"/>
        <v>4.4303797468354382</v>
      </c>
      <c r="R48" s="33">
        <f>IF(R44,AVERAGE(R44:R47),"")</f>
        <v>33</v>
      </c>
      <c r="S48" s="32" t="str">
        <f t="shared" si="48"/>
        <v>-</v>
      </c>
      <c r="T48" s="15" t="str">
        <f>IF(T44,AVERAGE(T44:T47),"")</f>
        <v/>
      </c>
      <c r="U48" s="32" t="str">
        <f t="shared" si="49"/>
        <v>-</v>
      </c>
      <c r="V48" s="33">
        <f>IF(V44,AVERAGE(V44:V47),"")</f>
        <v>35.200000000000003</v>
      </c>
      <c r="W48" s="32" t="str">
        <f t="shared" si="50"/>
        <v>-</v>
      </c>
      <c r="X48" s="15" t="str">
        <f>IF(X44,AVERAGE(X44:X47),"")</f>
        <v/>
      </c>
      <c r="Y48" s="32" t="str">
        <f t="shared" si="51"/>
        <v>-</v>
      </c>
      <c r="Z48" s="15" t="str">
        <f>IF(Z44,AVERAGE(Z44:Z47),"")</f>
        <v/>
      </c>
      <c r="AA48" s="32" t="str">
        <f t="shared" si="52"/>
        <v>-</v>
      </c>
      <c r="AB48" s="15" t="str">
        <f>IF(AB44,AVERAGE(AB44:AB47),"")</f>
        <v/>
      </c>
      <c r="AC48" s="32" t="str">
        <f t="shared" si="53"/>
        <v>-</v>
      </c>
      <c r="AD48" s="15" t="str">
        <f>IF(AD44,AVERAGE(AD44:AD47),"")</f>
        <v/>
      </c>
      <c r="AE48" s="32" t="str">
        <f t="shared" si="54"/>
        <v>-</v>
      </c>
      <c r="AF48" s="15" t="str">
        <f>IF(AF44,AVERAGE(AF44:AF47),"")</f>
        <v/>
      </c>
    </row>
    <row r="49" spans="1:32" ht="14.25" outlineLevel="1">
      <c r="A49" s="306" t="s">
        <v>105</v>
      </c>
      <c r="B49" s="294"/>
      <c r="C49" s="30" t="e">
        <f ca="1">'BD tratado'!D47</f>
        <v>#NAME?</v>
      </c>
      <c r="D49" s="31">
        <v>31.7</v>
      </c>
      <c r="E49" s="32">
        <f t="shared" si="41"/>
        <v>17.350157728706638</v>
      </c>
      <c r="F49" s="31">
        <v>37.200000000000003</v>
      </c>
      <c r="G49" s="32">
        <f t="shared" si="42"/>
        <v>4.838709677419347</v>
      </c>
      <c r="H49" s="31">
        <v>39</v>
      </c>
      <c r="I49" s="32">
        <f t="shared" si="43"/>
        <v>0.25641025641026005</v>
      </c>
      <c r="J49" s="31">
        <v>39.1</v>
      </c>
      <c r="K49" s="32">
        <f t="shared" si="44"/>
        <v>7.6726342710997439</v>
      </c>
      <c r="L49" s="31">
        <v>42.1</v>
      </c>
      <c r="M49" s="32" t="str">
        <f t="shared" si="45"/>
        <v>-</v>
      </c>
      <c r="N49" s="31"/>
      <c r="O49" s="32" t="str">
        <f t="shared" si="46"/>
        <v>-</v>
      </c>
      <c r="P49" s="31">
        <v>37.200000000000003</v>
      </c>
      <c r="Q49" s="32">
        <f t="shared" si="47"/>
        <v>10.483870967741932</v>
      </c>
      <c r="R49" s="31">
        <v>41.1</v>
      </c>
      <c r="S49" s="32" t="str">
        <f t="shared" si="48"/>
        <v>-</v>
      </c>
      <c r="T49" s="31"/>
      <c r="U49" s="32" t="str">
        <f t="shared" si="49"/>
        <v>-</v>
      </c>
      <c r="V49" s="31">
        <v>46.5</v>
      </c>
      <c r="W49" s="32" t="str">
        <f t="shared" si="50"/>
        <v>-</v>
      </c>
      <c r="X49" s="31"/>
      <c r="Y49" s="32" t="str">
        <f t="shared" si="51"/>
        <v>-</v>
      </c>
      <c r="Z49" s="31"/>
      <c r="AA49" s="32" t="str">
        <f t="shared" si="52"/>
        <v>-</v>
      </c>
      <c r="AB49" s="31"/>
      <c r="AC49" s="32" t="str">
        <f t="shared" si="53"/>
        <v>-</v>
      </c>
      <c r="AD49" s="31"/>
      <c r="AE49" s="32" t="str">
        <f t="shared" si="54"/>
        <v>-</v>
      </c>
      <c r="AF49" s="31"/>
    </row>
    <row r="50" spans="1:32" ht="14.25" outlineLevel="1">
      <c r="A50" s="306" t="s">
        <v>106</v>
      </c>
      <c r="B50" s="294"/>
      <c r="C50" s="30" t="e">
        <f ca="1">'BD tratado'!D48</f>
        <v>#NAME?</v>
      </c>
      <c r="D50" s="31"/>
      <c r="E50" s="32" t="str">
        <f t="shared" si="41"/>
        <v>-</v>
      </c>
      <c r="F50" s="31"/>
      <c r="G50" s="32" t="str">
        <f t="shared" si="42"/>
        <v>-</v>
      </c>
      <c r="H50" s="31"/>
      <c r="I50" s="32" t="str">
        <f t="shared" si="43"/>
        <v>-</v>
      </c>
      <c r="J50" s="31"/>
      <c r="K50" s="32" t="str">
        <f t="shared" si="44"/>
        <v>-</v>
      </c>
      <c r="L50" s="31"/>
      <c r="M50" s="32" t="str">
        <f t="shared" si="45"/>
        <v>-</v>
      </c>
      <c r="N50" s="31"/>
      <c r="O50" s="32" t="str">
        <f t="shared" si="46"/>
        <v>-</v>
      </c>
      <c r="P50" s="31"/>
      <c r="Q50" s="32" t="str">
        <f t="shared" si="47"/>
        <v>-</v>
      </c>
      <c r="R50" s="31"/>
      <c r="S50" s="32" t="str">
        <f t="shared" si="48"/>
        <v>-</v>
      </c>
      <c r="T50" s="31"/>
      <c r="U50" s="32" t="str">
        <f t="shared" si="49"/>
        <v>-</v>
      </c>
      <c r="V50" s="31"/>
      <c r="W50" s="32" t="str">
        <f t="shared" si="50"/>
        <v>-</v>
      </c>
      <c r="X50" s="31"/>
      <c r="Y50" s="32" t="str">
        <f t="shared" si="51"/>
        <v>-</v>
      </c>
      <c r="Z50" s="31"/>
      <c r="AA50" s="32" t="str">
        <f t="shared" si="52"/>
        <v>-</v>
      </c>
      <c r="AB50" s="31"/>
      <c r="AC50" s="32" t="str">
        <f t="shared" si="53"/>
        <v>-</v>
      </c>
      <c r="AD50" s="31"/>
      <c r="AE50" s="32" t="str">
        <f t="shared" si="54"/>
        <v>-</v>
      </c>
      <c r="AF50" s="31"/>
    </row>
    <row r="51" spans="1:32" ht="14.25" outlineLevel="1">
      <c r="A51" s="306" t="s">
        <v>107</v>
      </c>
      <c r="B51" s="294"/>
      <c r="C51" s="30" t="e">
        <f ca="1">'BD tratado'!D49</f>
        <v>#NAME?</v>
      </c>
      <c r="D51" s="31"/>
      <c r="E51" s="32" t="str">
        <f t="shared" si="41"/>
        <v>-</v>
      </c>
      <c r="F51" s="31"/>
      <c r="G51" s="32" t="str">
        <f t="shared" si="42"/>
        <v>-</v>
      </c>
      <c r="H51" s="31"/>
      <c r="I51" s="32" t="str">
        <f t="shared" si="43"/>
        <v>-</v>
      </c>
      <c r="J51" s="31"/>
      <c r="K51" s="32" t="str">
        <f t="shared" si="44"/>
        <v>-</v>
      </c>
      <c r="L51" s="31"/>
      <c r="M51" s="32" t="str">
        <f t="shared" si="45"/>
        <v>-</v>
      </c>
      <c r="N51" s="31"/>
      <c r="O51" s="32" t="str">
        <f t="shared" si="46"/>
        <v>-</v>
      </c>
      <c r="P51" s="31"/>
      <c r="Q51" s="32" t="str">
        <f t="shared" si="47"/>
        <v>-</v>
      </c>
      <c r="R51" s="31"/>
      <c r="S51" s="32" t="str">
        <f t="shared" si="48"/>
        <v>-</v>
      </c>
      <c r="T51" s="31"/>
      <c r="U51" s="32" t="str">
        <f t="shared" si="49"/>
        <v>-</v>
      </c>
      <c r="V51" s="31"/>
      <c r="W51" s="32" t="str">
        <f t="shared" si="50"/>
        <v>-</v>
      </c>
      <c r="X51" s="31"/>
      <c r="Y51" s="32" t="str">
        <f t="shared" si="51"/>
        <v>-</v>
      </c>
      <c r="Z51" s="31"/>
      <c r="AA51" s="32" t="str">
        <f t="shared" si="52"/>
        <v>-</v>
      </c>
      <c r="AB51" s="31"/>
      <c r="AC51" s="32" t="str">
        <f t="shared" si="53"/>
        <v>-</v>
      </c>
      <c r="AD51" s="31"/>
      <c r="AE51" s="32" t="str">
        <f t="shared" si="54"/>
        <v>-</v>
      </c>
      <c r="AF51" s="31"/>
    </row>
    <row r="52" spans="1:32" ht="14.25" outlineLevel="1">
      <c r="A52" s="306" t="s">
        <v>108</v>
      </c>
      <c r="B52" s="294"/>
      <c r="C52" s="30" t="e">
        <f ca="1">'BD tratado'!D50</f>
        <v>#NAME?</v>
      </c>
      <c r="D52" s="33">
        <f>IF(D49,AVERAGE(D49:D51),"")</f>
        <v>31.7</v>
      </c>
      <c r="E52" s="32">
        <f t="shared" si="41"/>
        <v>17.350157728706638</v>
      </c>
      <c r="F52" s="33">
        <f>IF(F49,AVERAGE(F49:F51),"")</f>
        <v>37.200000000000003</v>
      </c>
      <c r="G52" s="32">
        <f t="shared" si="42"/>
        <v>4.838709677419347</v>
      </c>
      <c r="H52" s="33">
        <f>IF(H49,AVERAGE(H49:H51),"")</f>
        <v>39</v>
      </c>
      <c r="I52" s="32">
        <f t="shared" si="43"/>
        <v>0.25641025641026005</v>
      </c>
      <c r="J52" s="33">
        <f>IF(J49,AVERAGE(J49:J51),"")</f>
        <v>39.1</v>
      </c>
      <c r="K52" s="32">
        <f t="shared" si="44"/>
        <v>7.6726342710997439</v>
      </c>
      <c r="L52" s="33">
        <f>IF(L49,AVERAGE(L49:L51),"")</f>
        <v>42.1</v>
      </c>
      <c r="M52" s="32" t="str">
        <f t="shared" si="45"/>
        <v>-</v>
      </c>
      <c r="N52" s="15" t="str">
        <f>IF(N49,AVERAGE(N49:N51),"")</f>
        <v/>
      </c>
      <c r="O52" s="32" t="str">
        <f t="shared" si="46"/>
        <v>-</v>
      </c>
      <c r="P52" s="33">
        <f>IF(P49,AVERAGE(P49:P51),"")</f>
        <v>37.200000000000003</v>
      </c>
      <c r="Q52" s="32">
        <f t="shared" si="47"/>
        <v>10.483870967741932</v>
      </c>
      <c r="R52" s="33">
        <f>IF(R49,AVERAGE(R49:R51),"")</f>
        <v>41.1</v>
      </c>
      <c r="S52" s="32" t="str">
        <f t="shared" si="48"/>
        <v>-</v>
      </c>
      <c r="T52" s="15" t="str">
        <f>IF(T49,AVERAGE(T49:T51),"")</f>
        <v/>
      </c>
      <c r="U52" s="32" t="str">
        <f t="shared" si="49"/>
        <v>-</v>
      </c>
      <c r="V52" s="33">
        <f>IF(V49,AVERAGE(V49:V51),"")</f>
        <v>46.5</v>
      </c>
      <c r="W52" s="32" t="str">
        <f t="shared" si="50"/>
        <v>-</v>
      </c>
      <c r="X52" s="15" t="str">
        <f>IF(X49,AVERAGE(X49:X51),"")</f>
        <v/>
      </c>
      <c r="Y52" s="32" t="str">
        <f t="shared" si="51"/>
        <v>-</v>
      </c>
      <c r="Z52" s="15" t="str">
        <f>IF(Z49,AVERAGE(Z49:Z51),"")</f>
        <v/>
      </c>
      <c r="AA52" s="32" t="str">
        <f t="shared" si="52"/>
        <v>-</v>
      </c>
      <c r="AB52" s="15" t="str">
        <f>IF(AB49,AVERAGE(AB49:AB51),"")</f>
        <v/>
      </c>
      <c r="AC52" s="32" t="str">
        <f t="shared" si="53"/>
        <v>-</v>
      </c>
      <c r="AD52" s="15" t="str">
        <f>IF(AD49,AVERAGE(AD49:AD51),"")</f>
        <v/>
      </c>
      <c r="AE52" s="32" t="str">
        <f t="shared" si="54"/>
        <v>-</v>
      </c>
      <c r="AF52" s="15" t="str">
        <f>IF(AF49,AVERAGE(AF49:AF51),"")</f>
        <v/>
      </c>
    </row>
    <row r="53" spans="1:32" ht="14.25" outlineLevel="1">
      <c r="A53" s="306" t="s">
        <v>109</v>
      </c>
      <c r="B53" s="294"/>
      <c r="C53" s="30" t="e">
        <f ca="1">'BD tratado'!D51</f>
        <v>#NAME?</v>
      </c>
      <c r="D53" s="31">
        <v>25.5</v>
      </c>
      <c r="E53" s="32">
        <f t="shared" si="41"/>
        <v>0</v>
      </c>
      <c r="F53" s="31">
        <v>25.5</v>
      </c>
      <c r="G53" s="32">
        <f t="shared" si="42"/>
        <v>-16.078431372549023</v>
      </c>
      <c r="H53" s="31">
        <v>21.4</v>
      </c>
      <c r="I53" s="32">
        <f t="shared" si="43"/>
        <v>9.8130841121495394</v>
      </c>
      <c r="J53" s="31">
        <v>23.5</v>
      </c>
      <c r="K53" s="32">
        <f t="shared" si="44"/>
        <v>16.170212765957448</v>
      </c>
      <c r="L53" s="31">
        <v>27.3</v>
      </c>
      <c r="M53" s="32" t="str">
        <f t="shared" si="45"/>
        <v>-</v>
      </c>
      <c r="N53" s="31"/>
      <c r="O53" s="32" t="str">
        <f t="shared" si="46"/>
        <v>-</v>
      </c>
      <c r="P53" s="31">
        <v>21.6</v>
      </c>
      <c r="Q53" s="32">
        <f t="shared" si="47"/>
        <v>37.037037037037038</v>
      </c>
      <c r="R53" s="31">
        <v>29.6</v>
      </c>
      <c r="S53" s="32" t="str">
        <f t="shared" si="48"/>
        <v>-</v>
      </c>
      <c r="T53" s="31"/>
      <c r="U53" s="32" t="str">
        <f t="shared" si="49"/>
        <v>-</v>
      </c>
      <c r="V53" s="31">
        <v>30.6</v>
      </c>
      <c r="W53" s="32" t="str">
        <f t="shared" si="50"/>
        <v>-</v>
      </c>
      <c r="X53" s="31"/>
      <c r="Y53" s="32" t="str">
        <f t="shared" si="51"/>
        <v>-</v>
      </c>
      <c r="Z53" s="31"/>
      <c r="AA53" s="32" t="str">
        <f t="shared" si="52"/>
        <v>-</v>
      </c>
      <c r="AB53" s="31"/>
      <c r="AC53" s="32" t="str">
        <f t="shared" si="53"/>
        <v>-</v>
      </c>
      <c r="AD53" s="31"/>
      <c r="AE53" s="32" t="str">
        <f t="shared" si="54"/>
        <v>-</v>
      </c>
      <c r="AF53" s="31"/>
    </row>
    <row r="54" spans="1:32" ht="14.25" outlineLevel="1">
      <c r="A54" s="306" t="s">
        <v>110</v>
      </c>
      <c r="B54" s="294"/>
      <c r="C54" s="30" t="e">
        <f ca="1">'BD tratado'!D52</f>
        <v>#NAME?</v>
      </c>
      <c r="D54" s="31"/>
      <c r="E54" s="32" t="str">
        <f t="shared" si="41"/>
        <v>-</v>
      </c>
      <c r="F54" s="31"/>
      <c r="G54" s="32" t="str">
        <f t="shared" si="42"/>
        <v>-</v>
      </c>
      <c r="H54" s="31"/>
      <c r="I54" s="32" t="str">
        <f t="shared" si="43"/>
        <v>-</v>
      </c>
      <c r="J54" s="31"/>
      <c r="K54" s="32" t="str">
        <f t="shared" si="44"/>
        <v>-</v>
      </c>
      <c r="L54" s="31"/>
      <c r="M54" s="32" t="str">
        <f t="shared" si="45"/>
        <v>-</v>
      </c>
      <c r="N54" s="31"/>
      <c r="O54" s="32" t="str">
        <f t="shared" si="46"/>
        <v>-</v>
      </c>
      <c r="P54" s="31"/>
      <c r="Q54" s="32" t="str">
        <f t="shared" si="47"/>
        <v>-</v>
      </c>
      <c r="R54" s="31"/>
      <c r="S54" s="32" t="str">
        <f t="shared" si="48"/>
        <v>-</v>
      </c>
      <c r="T54" s="31"/>
      <c r="U54" s="32" t="str">
        <f t="shared" si="49"/>
        <v>-</v>
      </c>
      <c r="V54" s="31"/>
      <c r="W54" s="32" t="str">
        <f t="shared" si="50"/>
        <v>-</v>
      </c>
      <c r="X54" s="31"/>
      <c r="Y54" s="32" t="str">
        <f t="shared" si="51"/>
        <v>-</v>
      </c>
      <c r="Z54" s="31"/>
      <c r="AA54" s="32" t="str">
        <f t="shared" si="52"/>
        <v>-</v>
      </c>
      <c r="AB54" s="31"/>
      <c r="AC54" s="32" t="str">
        <f t="shared" si="53"/>
        <v>-</v>
      </c>
      <c r="AD54" s="31"/>
      <c r="AE54" s="32" t="str">
        <f t="shared" si="54"/>
        <v>-</v>
      </c>
      <c r="AF54" s="31"/>
    </row>
    <row r="55" spans="1:32" ht="14.25" outlineLevel="1">
      <c r="A55" s="306" t="s">
        <v>111</v>
      </c>
      <c r="B55" s="294"/>
      <c r="C55" s="30" t="e">
        <f ca="1">'BD tratado'!D53</f>
        <v>#NAME?</v>
      </c>
      <c r="D55" s="31"/>
      <c r="E55" s="32" t="str">
        <f t="shared" si="41"/>
        <v>-</v>
      </c>
      <c r="F55" s="31"/>
      <c r="G55" s="32" t="str">
        <f t="shared" si="42"/>
        <v>-</v>
      </c>
      <c r="H55" s="31"/>
      <c r="I55" s="32" t="str">
        <f t="shared" si="43"/>
        <v>-</v>
      </c>
      <c r="J55" s="31"/>
      <c r="K55" s="32" t="str">
        <f t="shared" si="44"/>
        <v>-</v>
      </c>
      <c r="L55" s="31"/>
      <c r="M55" s="32" t="str">
        <f t="shared" si="45"/>
        <v>-</v>
      </c>
      <c r="N55" s="31"/>
      <c r="O55" s="32" t="str">
        <f t="shared" si="46"/>
        <v>-</v>
      </c>
      <c r="P55" s="31"/>
      <c r="Q55" s="32" t="str">
        <f t="shared" si="47"/>
        <v>-</v>
      </c>
      <c r="R55" s="31"/>
      <c r="S55" s="32" t="str">
        <f t="shared" si="48"/>
        <v>-</v>
      </c>
      <c r="T55" s="31"/>
      <c r="U55" s="32" t="str">
        <f t="shared" si="49"/>
        <v>-</v>
      </c>
      <c r="V55" s="31"/>
      <c r="W55" s="32" t="str">
        <f t="shared" si="50"/>
        <v>-</v>
      </c>
      <c r="X55" s="31"/>
      <c r="Y55" s="32" t="str">
        <f t="shared" si="51"/>
        <v>-</v>
      </c>
      <c r="Z55" s="31"/>
      <c r="AA55" s="32" t="str">
        <f t="shared" si="52"/>
        <v>-</v>
      </c>
      <c r="AB55" s="31"/>
      <c r="AC55" s="32" t="str">
        <f t="shared" si="53"/>
        <v>-</v>
      </c>
      <c r="AD55" s="31"/>
      <c r="AE55" s="32" t="str">
        <f t="shared" si="54"/>
        <v>-</v>
      </c>
      <c r="AF55" s="31"/>
    </row>
    <row r="56" spans="1:32" ht="14.25" outlineLevel="1">
      <c r="A56" s="306" t="s">
        <v>112</v>
      </c>
      <c r="B56" s="294"/>
      <c r="C56" s="30" t="e">
        <f ca="1">'BD tratado'!D54</f>
        <v>#NAME?</v>
      </c>
      <c r="D56" s="33">
        <f>IF(D53,AVERAGE(D53:D55),"")</f>
        <v>25.5</v>
      </c>
      <c r="E56" s="32">
        <f t="shared" si="41"/>
        <v>0</v>
      </c>
      <c r="F56" s="33">
        <f>IF(F53,AVERAGE(F53:F55),"")</f>
        <v>25.5</v>
      </c>
      <c r="G56" s="32">
        <f t="shared" si="42"/>
        <v>-16.078431372549023</v>
      </c>
      <c r="H56" s="33">
        <f>IF(H53,AVERAGE(H53:H55),"")</f>
        <v>21.4</v>
      </c>
      <c r="I56" s="32">
        <f t="shared" si="43"/>
        <v>9.8130841121495394</v>
      </c>
      <c r="J56" s="33">
        <f>IF(J53,AVERAGE(J53:J55),"")</f>
        <v>23.5</v>
      </c>
      <c r="K56" s="32">
        <f t="shared" si="44"/>
        <v>16.170212765957448</v>
      </c>
      <c r="L56" s="33">
        <f>IF(L53,AVERAGE(L53:L55),"")</f>
        <v>27.3</v>
      </c>
      <c r="M56" s="32" t="str">
        <f t="shared" si="45"/>
        <v>-</v>
      </c>
      <c r="N56" s="15" t="str">
        <f>IF(N53,AVERAGE(N53:N55),"")</f>
        <v/>
      </c>
      <c r="O56" s="32" t="str">
        <f t="shared" si="46"/>
        <v>-</v>
      </c>
      <c r="P56" s="33">
        <f>IF(P53,AVERAGE(P53:P55),"")</f>
        <v>21.6</v>
      </c>
      <c r="Q56" s="32">
        <f t="shared" si="47"/>
        <v>37.037037037037038</v>
      </c>
      <c r="R56" s="33">
        <f>IF(R53,AVERAGE(R53:R55),"")</f>
        <v>29.6</v>
      </c>
      <c r="S56" s="32" t="str">
        <f t="shared" si="48"/>
        <v>-</v>
      </c>
      <c r="T56" s="15" t="str">
        <f>IF(T53,AVERAGE(T53:T55),"")</f>
        <v/>
      </c>
      <c r="U56" s="32" t="str">
        <f t="shared" si="49"/>
        <v>-</v>
      </c>
      <c r="V56" s="33">
        <f>IF(V53,AVERAGE(V53:V55),"")</f>
        <v>30.6</v>
      </c>
      <c r="W56" s="32" t="str">
        <f t="shared" si="50"/>
        <v>-</v>
      </c>
      <c r="X56" s="15" t="str">
        <f>IF(X53,AVERAGE(X53:X55),"")</f>
        <v/>
      </c>
      <c r="Y56" s="32" t="str">
        <f t="shared" si="51"/>
        <v>-</v>
      </c>
      <c r="Z56" s="15" t="str">
        <f>IF(Z53,AVERAGE(Z53:Z55),"")</f>
        <v/>
      </c>
      <c r="AA56" s="32" t="str">
        <f t="shared" si="52"/>
        <v>-</v>
      </c>
      <c r="AB56" s="15" t="str">
        <f>IF(AB53,AVERAGE(AB53:AB55),"")</f>
        <v/>
      </c>
      <c r="AC56" s="32" t="str">
        <f t="shared" si="53"/>
        <v>-</v>
      </c>
      <c r="AD56" s="15" t="str">
        <f>IF(AD53,AVERAGE(AD53:AD55),"")</f>
        <v/>
      </c>
      <c r="AE56" s="32" t="str">
        <f t="shared" si="54"/>
        <v>-</v>
      </c>
      <c r="AF56" s="15" t="str">
        <f>IF(AF53,AVERAGE(AF53:AF55),"")</f>
        <v/>
      </c>
    </row>
    <row r="57" spans="1:32" ht="14.25" outlineLevel="1">
      <c r="A57" s="306" t="s">
        <v>113</v>
      </c>
      <c r="B57" s="294"/>
      <c r="C57" s="30" t="e">
        <f ca="1">'BD tratado'!D55</f>
        <v>#NAME?</v>
      </c>
      <c r="D57" s="31">
        <v>23.8</v>
      </c>
      <c r="E57" s="32">
        <f t="shared" si="41"/>
        <v>-0.4201680672268967</v>
      </c>
      <c r="F57" s="31">
        <v>23.7</v>
      </c>
      <c r="G57" s="32">
        <f t="shared" si="42"/>
        <v>-20.253164556962027</v>
      </c>
      <c r="H57" s="31">
        <v>18.899999999999999</v>
      </c>
      <c r="I57" s="32">
        <f t="shared" si="43"/>
        <v>0</v>
      </c>
      <c r="J57" s="31">
        <v>18.899999999999999</v>
      </c>
      <c r="K57" s="32">
        <f t="shared" si="44"/>
        <v>-2.1164021164021092</v>
      </c>
      <c r="L57" s="31">
        <v>18.5</v>
      </c>
      <c r="M57" s="32" t="str">
        <f t="shared" si="45"/>
        <v>-</v>
      </c>
      <c r="N57" s="31"/>
      <c r="O57" s="32" t="str">
        <f t="shared" si="46"/>
        <v>-</v>
      </c>
      <c r="P57" s="31">
        <v>19.899999999999999</v>
      </c>
      <c r="Q57" s="32">
        <f t="shared" si="47"/>
        <v>2.0100502512562923</v>
      </c>
      <c r="R57" s="31">
        <v>20.3</v>
      </c>
      <c r="S57" s="32" t="str">
        <f t="shared" si="48"/>
        <v>-</v>
      </c>
      <c r="T57" s="31"/>
      <c r="U57" s="32" t="str">
        <f t="shared" si="49"/>
        <v>-</v>
      </c>
      <c r="V57" s="31">
        <v>24.7</v>
      </c>
      <c r="W57" s="32" t="str">
        <f t="shared" si="50"/>
        <v>-</v>
      </c>
      <c r="X57" s="31"/>
      <c r="Y57" s="32" t="str">
        <f t="shared" si="51"/>
        <v>-</v>
      </c>
      <c r="Z57" s="31"/>
      <c r="AA57" s="32" t="str">
        <f t="shared" si="52"/>
        <v>-</v>
      </c>
      <c r="AB57" s="31"/>
      <c r="AC57" s="32" t="str">
        <f t="shared" si="53"/>
        <v>-</v>
      </c>
      <c r="AD57" s="31"/>
      <c r="AE57" s="32" t="str">
        <f t="shared" si="54"/>
        <v>-</v>
      </c>
      <c r="AF57" s="31"/>
    </row>
    <row r="58" spans="1:32" ht="14.25" outlineLevel="1">
      <c r="A58" s="306" t="s">
        <v>114</v>
      </c>
      <c r="B58" s="294"/>
      <c r="C58" s="30" t="e">
        <f ca="1">'BD tratado'!D56</f>
        <v>#NAME?</v>
      </c>
      <c r="D58" s="31"/>
      <c r="E58" s="32" t="str">
        <f t="shared" si="41"/>
        <v>-</v>
      </c>
      <c r="F58" s="31"/>
      <c r="G58" s="32" t="str">
        <f t="shared" si="42"/>
        <v>-</v>
      </c>
      <c r="H58" s="31"/>
      <c r="I58" s="32" t="str">
        <f t="shared" si="43"/>
        <v>-</v>
      </c>
      <c r="J58" s="31"/>
      <c r="K58" s="32" t="str">
        <f t="shared" si="44"/>
        <v>-</v>
      </c>
      <c r="L58" s="31"/>
      <c r="M58" s="32" t="str">
        <f t="shared" si="45"/>
        <v>-</v>
      </c>
      <c r="N58" s="31"/>
      <c r="O58" s="32" t="str">
        <f t="shared" si="46"/>
        <v>-</v>
      </c>
      <c r="P58" s="31"/>
      <c r="Q58" s="32" t="str">
        <f t="shared" si="47"/>
        <v>-</v>
      </c>
      <c r="R58" s="31"/>
      <c r="S58" s="32" t="str">
        <f t="shared" si="48"/>
        <v>-</v>
      </c>
      <c r="T58" s="31"/>
      <c r="U58" s="32" t="str">
        <f t="shared" si="49"/>
        <v>-</v>
      </c>
      <c r="V58" s="31"/>
      <c r="W58" s="32" t="str">
        <f t="shared" si="50"/>
        <v>-</v>
      </c>
      <c r="X58" s="31"/>
      <c r="Y58" s="32" t="str">
        <f t="shared" si="51"/>
        <v>-</v>
      </c>
      <c r="Z58" s="31"/>
      <c r="AA58" s="32" t="str">
        <f t="shared" si="52"/>
        <v>-</v>
      </c>
      <c r="AB58" s="31"/>
      <c r="AC58" s="32" t="str">
        <f t="shared" si="53"/>
        <v>-</v>
      </c>
      <c r="AD58" s="31"/>
      <c r="AE58" s="32" t="str">
        <f t="shared" si="54"/>
        <v>-</v>
      </c>
      <c r="AF58" s="31"/>
    </row>
    <row r="59" spans="1:32" ht="14.25" outlineLevel="1">
      <c r="A59" s="306" t="s">
        <v>115</v>
      </c>
      <c r="B59" s="294"/>
      <c r="C59" s="30" t="e">
        <f ca="1">'BD tratado'!D57</f>
        <v>#NAME?</v>
      </c>
      <c r="D59" s="31"/>
      <c r="E59" s="32" t="str">
        <f t="shared" si="41"/>
        <v>-</v>
      </c>
      <c r="F59" s="31"/>
      <c r="G59" s="32" t="str">
        <f t="shared" si="42"/>
        <v>-</v>
      </c>
      <c r="H59" s="31"/>
      <c r="I59" s="32" t="str">
        <f t="shared" si="43"/>
        <v>-</v>
      </c>
      <c r="J59" s="31"/>
      <c r="K59" s="32" t="str">
        <f t="shared" si="44"/>
        <v>-</v>
      </c>
      <c r="L59" s="31"/>
      <c r="M59" s="32" t="str">
        <f t="shared" si="45"/>
        <v>-</v>
      </c>
      <c r="N59" s="31"/>
      <c r="O59" s="32" t="str">
        <f t="shared" si="46"/>
        <v>-</v>
      </c>
      <c r="P59" s="31"/>
      <c r="Q59" s="32" t="str">
        <f t="shared" si="47"/>
        <v>-</v>
      </c>
      <c r="R59" s="31"/>
      <c r="S59" s="32" t="str">
        <f t="shared" si="48"/>
        <v>-</v>
      </c>
      <c r="T59" s="31"/>
      <c r="U59" s="32" t="str">
        <f t="shared" si="49"/>
        <v>-</v>
      </c>
      <c r="V59" s="31"/>
      <c r="W59" s="32" t="str">
        <f t="shared" si="50"/>
        <v>-</v>
      </c>
      <c r="X59" s="31"/>
      <c r="Y59" s="32" t="str">
        <f t="shared" si="51"/>
        <v>-</v>
      </c>
      <c r="Z59" s="31"/>
      <c r="AA59" s="32" t="str">
        <f t="shared" si="52"/>
        <v>-</v>
      </c>
      <c r="AB59" s="31"/>
      <c r="AC59" s="32" t="str">
        <f t="shared" si="53"/>
        <v>-</v>
      </c>
      <c r="AD59" s="31"/>
      <c r="AE59" s="32" t="str">
        <f t="shared" si="54"/>
        <v>-</v>
      </c>
      <c r="AF59" s="31"/>
    </row>
    <row r="60" spans="1:32" ht="14.25" outlineLevel="1">
      <c r="A60" s="306" t="s">
        <v>116</v>
      </c>
      <c r="B60" s="294"/>
      <c r="C60" s="30" t="e">
        <f ca="1">'BD tratado'!D58</f>
        <v>#NAME?</v>
      </c>
      <c r="D60" s="33">
        <f>IF(D57,AVERAGE(D57:D59),"")</f>
        <v>23.8</v>
      </c>
      <c r="E60" s="32">
        <f t="shared" si="41"/>
        <v>-0.4201680672268967</v>
      </c>
      <c r="F60" s="33">
        <f>IF(F57,AVERAGE(F57:F59),"")</f>
        <v>23.7</v>
      </c>
      <c r="G60" s="32">
        <f t="shared" si="42"/>
        <v>-20.253164556962027</v>
      </c>
      <c r="H60" s="33">
        <f>IF(H57,AVERAGE(H57:H59),"")</f>
        <v>18.899999999999999</v>
      </c>
      <c r="I60" s="32">
        <f t="shared" si="43"/>
        <v>0</v>
      </c>
      <c r="J60" s="33">
        <f>IF(J57,AVERAGE(J57:J59),"")</f>
        <v>18.899999999999999</v>
      </c>
      <c r="K60" s="32">
        <f t="shared" si="44"/>
        <v>-2.1164021164021092</v>
      </c>
      <c r="L60" s="33">
        <f>IF(L57,AVERAGE(L57:L59),"")</f>
        <v>18.5</v>
      </c>
      <c r="M60" s="32" t="str">
        <f t="shared" si="45"/>
        <v>-</v>
      </c>
      <c r="N60" s="15" t="str">
        <f>IF(N57,AVERAGE(N57:N59),"")</f>
        <v/>
      </c>
      <c r="O60" s="32" t="str">
        <f t="shared" si="46"/>
        <v>-</v>
      </c>
      <c r="P60" s="33">
        <f>IF(P57,AVERAGE(P57:P59),"")</f>
        <v>19.899999999999999</v>
      </c>
      <c r="Q60" s="32">
        <f t="shared" si="47"/>
        <v>2.0100502512562923</v>
      </c>
      <c r="R60" s="33">
        <f>IF(R57,AVERAGE(R57:R59),"")</f>
        <v>20.3</v>
      </c>
      <c r="S60" s="32" t="str">
        <f t="shared" si="48"/>
        <v>-</v>
      </c>
      <c r="T60" s="15" t="str">
        <f>IF(T57,AVERAGE(T57:T59),"")</f>
        <v/>
      </c>
      <c r="U60" s="32" t="str">
        <f t="shared" si="49"/>
        <v>-</v>
      </c>
      <c r="V60" s="33">
        <f>IF(V57,AVERAGE(V57:V59),"")</f>
        <v>24.7</v>
      </c>
      <c r="W60" s="32" t="str">
        <f t="shared" si="50"/>
        <v>-</v>
      </c>
      <c r="X60" s="15" t="str">
        <f>IF(X57,AVERAGE(X57:X59),"")</f>
        <v/>
      </c>
      <c r="Y60" s="32" t="str">
        <f t="shared" si="51"/>
        <v>-</v>
      </c>
      <c r="Z60" s="15" t="str">
        <f>IF(Z57,AVERAGE(Z57:Z59),"")</f>
        <v/>
      </c>
      <c r="AA60" s="32" t="str">
        <f t="shared" si="52"/>
        <v>-</v>
      </c>
      <c r="AB60" s="15" t="str">
        <f>IF(AB57,AVERAGE(AB57:AB59),"")</f>
        <v/>
      </c>
      <c r="AC60" s="32" t="str">
        <f t="shared" si="53"/>
        <v>-</v>
      </c>
      <c r="AD60" s="15" t="str">
        <f>IF(AD57,AVERAGE(AD57:AD59),"")</f>
        <v/>
      </c>
      <c r="AE60" s="32" t="str">
        <f t="shared" si="54"/>
        <v>-</v>
      </c>
      <c r="AF60" s="15" t="str">
        <f>IF(AF57,AVERAGE(AF57:AF59),"")</f>
        <v/>
      </c>
    </row>
    <row r="61" spans="1:32" ht="14.25" outlineLevel="1">
      <c r="A61" s="306" t="s">
        <v>117</v>
      </c>
      <c r="B61" s="294"/>
      <c r="C61" s="30" t="e">
        <f ca="1">'BD tratado'!D59</f>
        <v>#NAME?</v>
      </c>
      <c r="D61" s="33">
        <f>IF(D56,D56+D60,"")</f>
        <v>49.3</v>
      </c>
      <c r="E61" s="32">
        <f t="shared" si="41"/>
        <v>-0.20283975659228057</v>
      </c>
      <c r="F61" s="33">
        <f>IF(F56,F56+F60,"")</f>
        <v>49.2</v>
      </c>
      <c r="G61" s="32">
        <f t="shared" si="42"/>
        <v>-18.089430894308954</v>
      </c>
      <c r="H61" s="33">
        <f>IF(H56,H56+H60,"")</f>
        <v>40.299999999999997</v>
      </c>
      <c r="I61" s="32">
        <f t="shared" si="43"/>
        <v>5.2109181141439249</v>
      </c>
      <c r="J61" s="33">
        <f>IF(J56,J56+J60,"")</f>
        <v>42.4</v>
      </c>
      <c r="K61" s="32">
        <f t="shared" si="44"/>
        <v>8.0188679245282994</v>
      </c>
      <c r="L61" s="33">
        <f>IF(L56,L56+L60,"")</f>
        <v>45.8</v>
      </c>
      <c r="M61" s="32" t="e">
        <f t="shared" si="45"/>
        <v>#VALUE!</v>
      </c>
      <c r="N61" s="15" t="e">
        <f>IF(N56,N56+N60,"")</f>
        <v>#VALUE!</v>
      </c>
      <c r="O61" s="32" t="e">
        <f t="shared" si="46"/>
        <v>#VALUE!</v>
      </c>
      <c r="P61" s="33">
        <f>IF(P56,P56+P60,"")</f>
        <v>41.5</v>
      </c>
      <c r="Q61" s="32">
        <f t="shared" si="47"/>
        <v>20.2409638554217</v>
      </c>
      <c r="R61" s="33">
        <f>IF(R56,R56+R60,"")</f>
        <v>49.900000000000006</v>
      </c>
      <c r="S61" s="32" t="e">
        <f t="shared" si="48"/>
        <v>#VALUE!</v>
      </c>
      <c r="T61" s="15" t="e">
        <f>IF(T56,T56+T60,"")</f>
        <v>#VALUE!</v>
      </c>
      <c r="U61" s="32" t="e">
        <f t="shared" si="49"/>
        <v>#VALUE!</v>
      </c>
      <c r="V61" s="33">
        <f>IF(V56,V56+V60,"")</f>
        <v>55.3</v>
      </c>
      <c r="W61" s="32" t="e">
        <f t="shared" si="50"/>
        <v>#VALUE!</v>
      </c>
      <c r="X61" s="15" t="e">
        <f>IF(X56,X56+X60,"")</f>
        <v>#VALUE!</v>
      </c>
      <c r="Y61" s="32" t="e">
        <f t="shared" si="51"/>
        <v>#VALUE!</v>
      </c>
      <c r="Z61" s="15" t="e">
        <f>IF(Z56,Z56+Z60,"")</f>
        <v>#VALUE!</v>
      </c>
      <c r="AA61" s="32" t="e">
        <f t="shared" si="52"/>
        <v>#VALUE!</v>
      </c>
      <c r="AB61" s="15" t="e">
        <f>IF(AB56,AB56+AB60,"")</f>
        <v>#VALUE!</v>
      </c>
      <c r="AC61" s="32" t="e">
        <f t="shared" si="53"/>
        <v>#VALUE!</v>
      </c>
      <c r="AD61" s="15" t="e">
        <f>IF(AD56,AD56+AD60,"")</f>
        <v>#VALUE!</v>
      </c>
      <c r="AE61" s="32" t="e">
        <f t="shared" si="54"/>
        <v>#VALUE!</v>
      </c>
      <c r="AF61" s="15" t="e">
        <f>IF(AF56,AF56+AF60,"")</f>
        <v>#VALUE!</v>
      </c>
    </row>
    <row r="62" spans="1:32" ht="14.25" outlineLevel="1">
      <c r="A62" s="307"/>
      <c r="B62" s="294"/>
      <c r="C62" s="15"/>
      <c r="D62" s="15"/>
      <c r="E62" s="32"/>
      <c r="F62" s="15"/>
      <c r="G62" s="32"/>
      <c r="H62" s="15"/>
      <c r="I62" s="32"/>
      <c r="J62" s="15"/>
      <c r="K62" s="32"/>
      <c r="L62" s="15"/>
      <c r="M62" s="32"/>
      <c r="N62" s="15"/>
      <c r="O62" s="32"/>
      <c r="P62" s="15"/>
      <c r="Q62" s="32"/>
      <c r="R62" s="15"/>
      <c r="S62" s="32"/>
      <c r="T62" s="15"/>
      <c r="U62" s="32"/>
      <c r="V62" s="15"/>
      <c r="W62" s="32"/>
      <c r="X62" s="15"/>
      <c r="Y62" s="32"/>
      <c r="Z62" s="15"/>
      <c r="AA62" s="32"/>
      <c r="AB62" s="15"/>
      <c r="AC62" s="32"/>
      <c r="AD62" s="15"/>
      <c r="AE62" s="32"/>
      <c r="AF62" s="15"/>
    </row>
    <row r="63" spans="1:32" ht="14.25" outlineLevel="1">
      <c r="A63" s="304" t="s">
        <v>118</v>
      </c>
      <c r="B63" s="294"/>
      <c r="C63" s="30" t="e">
        <f ca="1">'BD tratado'!D61</f>
        <v>#NAME?</v>
      </c>
      <c r="D63" s="31">
        <v>18.899999999999999</v>
      </c>
      <c r="E63" s="32">
        <f t="shared" ref="E63:E101" si="55">IF(OR(D63="",F63="",D63="-",F63="-"),"-",(F63-D63)*100/D63)</f>
        <v>-60.317460317460309</v>
      </c>
      <c r="F63" s="31">
        <v>7.5</v>
      </c>
      <c r="G63" s="32">
        <f t="shared" ref="G63:G101" si="56">IF(OR(F63="",H63="",F63="-",H63="-"),"-",(H63-F63)*100/F63)</f>
        <v>-42.666666666666664</v>
      </c>
      <c r="H63" s="31">
        <v>4.3</v>
      </c>
      <c r="I63" s="32">
        <f t="shared" ref="I63:I101" si="57">IF(OR(H63="",J63="",H63="-",J63="-"),"-",(J63-H63)*100/H63)</f>
        <v>44.186046511627914</v>
      </c>
      <c r="J63" s="31">
        <v>6.2</v>
      </c>
      <c r="K63" s="32">
        <f t="shared" ref="K63:K101" si="58">IF(OR(J63="",L63="",J63="-",L63="-"),"-",(L63-J63)*100/J63)</f>
        <v>3.2258064516129061</v>
      </c>
      <c r="L63" s="31">
        <v>6.4</v>
      </c>
      <c r="M63" s="32" t="str">
        <f t="shared" ref="M63:M101" si="59">IF(OR(L63="",N63="",L63="-",N63="-"),"-",(N63-L63)*100/L63)</f>
        <v>-</v>
      </c>
      <c r="N63" s="31"/>
      <c r="O63" s="32" t="str">
        <f t="shared" ref="O63:O101" si="60">IF(OR(N63="",P63="",N63="-",P63="-"),"-",(P63-N63)*100/N63)</f>
        <v>-</v>
      </c>
      <c r="P63" s="31">
        <v>5.7</v>
      </c>
      <c r="Q63" s="32">
        <f t="shared" ref="Q63:Q101" si="61">IF(OR(P63="",R63="",P63="-",R63="-"),"-",(R63-P63)*100/P63)</f>
        <v>-12.280701754385968</v>
      </c>
      <c r="R63" s="31">
        <v>5</v>
      </c>
      <c r="S63" s="32" t="str">
        <f t="shared" ref="S63:S101" si="62">IF(OR(R63="",T63="",R63="-",T63="-"),"-",(T63-R63)*100/R63)</f>
        <v>-</v>
      </c>
      <c r="T63" s="31"/>
      <c r="U63" s="32" t="str">
        <f t="shared" ref="U63:U101" si="63">IF(OR(T63="",V63="",T63="-",V63="-"),"-",(V63-T63)*100/T63)</f>
        <v>-</v>
      </c>
      <c r="V63" s="31">
        <v>4</v>
      </c>
      <c r="W63" s="32" t="str">
        <f t="shared" ref="W63:W101" si="64">IF(OR(V63="",X63="",V63="-",X63="-"),"-",(X63-V63)*100/V63)</f>
        <v>-</v>
      </c>
      <c r="X63" s="31"/>
      <c r="Y63" s="32" t="str">
        <f t="shared" ref="Y63:Y101" si="65">IF(OR(X63="",Z63="",X63="-",Z63="-"),"-",(Z63-X63)*100/X63)</f>
        <v>-</v>
      </c>
      <c r="Z63" s="31"/>
      <c r="AA63" s="32" t="str">
        <f t="shared" ref="AA63:AA101" si="66">IF(OR(Z63="",AB63="",Z63="-",AB63="-"),"-",(AB63-Z63)*100/Z63)</f>
        <v>-</v>
      </c>
      <c r="AB63" s="31"/>
      <c r="AC63" s="32" t="str">
        <f t="shared" ref="AC63:AC101" si="67">IF(OR(AB63="",AD63="",AB63="-",AD63="-"),"-",(AD63-AB63)*100/AB63)</f>
        <v>-</v>
      </c>
      <c r="AD63" s="31"/>
      <c r="AE63" s="32" t="str">
        <f t="shared" ref="AE63:AE101" si="68">IF(OR(AD63="",AF63="",AD63="-",AF63="-"),"-",(AF63-AD63)*100/AD63)</f>
        <v>-</v>
      </c>
      <c r="AF63" s="31"/>
    </row>
    <row r="64" spans="1:32" ht="14.25" outlineLevel="1">
      <c r="A64" s="304" t="s">
        <v>119</v>
      </c>
      <c r="B64" s="294"/>
      <c r="C64" s="30" t="e">
        <f ca="1">'BD tratado'!D62</f>
        <v>#NAME?</v>
      </c>
      <c r="D64" s="31"/>
      <c r="E64" s="32" t="str">
        <f t="shared" si="55"/>
        <v>-</v>
      </c>
      <c r="F64" s="31"/>
      <c r="G64" s="32" t="str">
        <f t="shared" si="56"/>
        <v>-</v>
      </c>
      <c r="H64" s="31"/>
      <c r="I64" s="32" t="str">
        <f t="shared" si="57"/>
        <v>-</v>
      </c>
      <c r="J64" s="31"/>
      <c r="K64" s="32" t="str">
        <f t="shared" si="58"/>
        <v>-</v>
      </c>
      <c r="L64" s="31"/>
      <c r="M64" s="32" t="str">
        <f t="shared" si="59"/>
        <v>-</v>
      </c>
      <c r="N64" s="31"/>
      <c r="O64" s="32" t="str">
        <f t="shared" si="60"/>
        <v>-</v>
      </c>
      <c r="P64" s="31"/>
      <c r="Q64" s="32" t="str">
        <f t="shared" si="61"/>
        <v>-</v>
      </c>
      <c r="R64" s="31"/>
      <c r="S64" s="32" t="str">
        <f t="shared" si="62"/>
        <v>-</v>
      </c>
      <c r="T64" s="31"/>
      <c r="U64" s="32" t="str">
        <f t="shared" si="63"/>
        <v>-</v>
      </c>
      <c r="V64" s="31"/>
      <c r="W64" s="32" t="str">
        <f t="shared" si="64"/>
        <v>-</v>
      </c>
      <c r="X64" s="31"/>
      <c r="Y64" s="32" t="str">
        <f t="shared" si="65"/>
        <v>-</v>
      </c>
      <c r="Z64" s="31"/>
      <c r="AA64" s="32" t="str">
        <f t="shared" si="66"/>
        <v>-</v>
      </c>
      <c r="AB64" s="31"/>
      <c r="AC64" s="32" t="str">
        <f t="shared" si="67"/>
        <v>-</v>
      </c>
      <c r="AD64" s="31"/>
      <c r="AE64" s="32" t="str">
        <f t="shared" si="68"/>
        <v>-</v>
      </c>
      <c r="AF64" s="31"/>
    </row>
    <row r="65" spans="1:32" ht="14.25" outlineLevel="1">
      <c r="A65" s="304" t="s">
        <v>120</v>
      </c>
      <c r="B65" s="294"/>
      <c r="C65" s="30" t="e">
        <f ca="1">'BD tratado'!D63</f>
        <v>#NAME?</v>
      </c>
      <c r="D65" s="31"/>
      <c r="E65" s="32" t="str">
        <f t="shared" si="55"/>
        <v>-</v>
      </c>
      <c r="F65" s="31"/>
      <c r="G65" s="32" t="str">
        <f t="shared" si="56"/>
        <v>-</v>
      </c>
      <c r="H65" s="31"/>
      <c r="I65" s="32" t="str">
        <f t="shared" si="57"/>
        <v>-</v>
      </c>
      <c r="J65" s="31"/>
      <c r="K65" s="32" t="str">
        <f t="shared" si="58"/>
        <v>-</v>
      </c>
      <c r="L65" s="31"/>
      <c r="M65" s="32" t="str">
        <f t="shared" si="59"/>
        <v>-</v>
      </c>
      <c r="N65" s="31"/>
      <c r="O65" s="32" t="str">
        <f t="shared" si="60"/>
        <v>-</v>
      </c>
      <c r="P65" s="31"/>
      <c r="Q65" s="32" t="str">
        <f t="shared" si="61"/>
        <v>-</v>
      </c>
      <c r="R65" s="31"/>
      <c r="S65" s="32" t="str">
        <f t="shared" si="62"/>
        <v>-</v>
      </c>
      <c r="T65" s="31"/>
      <c r="U65" s="32" t="str">
        <f t="shared" si="63"/>
        <v>-</v>
      </c>
      <c r="V65" s="31"/>
      <c r="W65" s="32" t="str">
        <f t="shared" si="64"/>
        <v>-</v>
      </c>
      <c r="X65" s="31"/>
      <c r="Y65" s="32" t="str">
        <f t="shared" si="65"/>
        <v>-</v>
      </c>
      <c r="Z65" s="31"/>
      <c r="AA65" s="32" t="str">
        <f t="shared" si="66"/>
        <v>-</v>
      </c>
      <c r="AB65" s="31"/>
      <c r="AC65" s="32" t="str">
        <f t="shared" si="67"/>
        <v>-</v>
      </c>
      <c r="AD65" s="31"/>
      <c r="AE65" s="32" t="str">
        <f t="shared" si="68"/>
        <v>-</v>
      </c>
      <c r="AF65" s="31"/>
    </row>
    <row r="66" spans="1:32" ht="14.25" outlineLevel="1">
      <c r="A66" s="304" t="s">
        <v>121</v>
      </c>
      <c r="B66" s="294"/>
      <c r="C66" s="30" t="e">
        <f ca="1">'BD tratado'!D64</f>
        <v>#NAME?</v>
      </c>
      <c r="D66" s="33">
        <f>IF(D63,AVERAGE(D63:D65),"")</f>
        <v>18.899999999999999</v>
      </c>
      <c r="E66" s="32">
        <f t="shared" si="55"/>
        <v>-60.317460317460309</v>
      </c>
      <c r="F66" s="33">
        <f>IF(F63,AVERAGE(F63:F65),"")</f>
        <v>7.5</v>
      </c>
      <c r="G66" s="32">
        <f t="shared" si="56"/>
        <v>-42.666666666666664</v>
      </c>
      <c r="H66" s="33">
        <f>IF(H63,AVERAGE(H63:H65),"")</f>
        <v>4.3</v>
      </c>
      <c r="I66" s="32">
        <f t="shared" si="57"/>
        <v>44.186046511627914</v>
      </c>
      <c r="J66" s="33">
        <f>IF(J63,AVERAGE(J63:J65),"")</f>
        <v>6.2</v>
      </c>
      <c r="K66" s="32">
        <f t="shared" si="58"/>
        <v>3.2258064516129061</v>
      </c>
      <c r="L66" s="33">
        <f>IF(L63,AVERAGE(L63:L65),"")</f>
        <v>6.4</v>
      </c>
      <c r="M66" s="32" t="str">
        <f t="shared" si="59"/>
        <v>-</v>
      </c>
      <c r="N66" s="15" t="str">
        <f>IF(N63,AVERAGE(N63:N65),"")</f>
        <v/>
      </c>
      <c r="O66" s="32" t="str">
        <f t="shared" si="60"/>
        <v>-</v>
      </c>
      <c r="P66" s="33">
        <f>IF(P63,AVERAGE(P63:P65),"")</f>
        <v>5.7</v>
      </c>
      <c r="Q66" s="32">
        <f t="shared" si="61"/>
        <v>-12.280701754385968</v>
      </c>
      <c r="R66" s="33">
        <f>IF(R63,AVERAGE(R63:R65),"")</f>
        <v>5</v>
      </c>
      <c r="S66" s="32" t="str">
        <f t="shared" si="62"/>
        <v>-</v>
      </c>
      <c r="T66" s="15" t="str">
        <f>IF(T63,AVERAGE(T63:T65),"")</f>
        <v/>
      </c>
      <c r="U66" s="32" t="str">
        <f t="shared" si="63"/>
        <v>-</v>
      </c>
      <c r="V66" s="33">
        <f>IF(V63,AVERAGE(V63:V65),"")</f>
        <v>4</v>
      </c>
      <c r="W66" s="32" t="str">
        <f t="shared" si="64"/>
        <v>-</v>
      </c>
      <c r="X66" s="15" t="str">
        <f>IF(X63,AVERAGE(X63:X65),"")</f>
        <v/>
      </c>
      <c r="Y66" s="32" t="str">
        <f t="shared" si="65"/>
        <v>-</v>
      </c>
      <c r="Z66" s="15" t="str">
        <f>IF(Z63,AVERAGE(Z63:Z65),"")</f>
        <v/>
      </c>
      <c r="AA66" s="32" t="str">
        <f t="shared" si="66"/>
        <v>-</v>
      </c>
      <c r="AB66" s="15" t="str">
        <f>IF(AB63,AVERAGE(AB63:AB65),"")</f>
        <v/>
      </c>
      <c r="AC66" s="32" t="str">
        <f t="shared" si="67"/>
        <v>-</v>
      </c>
      <c r="AD66" s="15" t="str">
        <f>IF(AD63,AVERAGE(AD63:AD65),"")</f>
        <v/>
      </c>
      <c r="AE66" s="32" t="str">
        <f t="shared" si="68"/>
        <v>-</v>
      </c>
      <c r="AF66" s="15" t="str">
        <f>IF(AF63,AVERAGE(AF63:AF65),"")</f>
        <v/>
      </c>
    </row>
    <row r="67" spans="1:32" ht="14.25" outlineLevel="1">
      <c r="A67" s="304" t="s">
        <v>122</v>
      </c>
      <c r="B67" s="294"/>
      <c r="C67" s="30" t="e">
        <f ca="1">'BD tratado'!D65</f>
        <v>#NAME?</v>
      </c>
      <c r="D67" s="31">
        <v>20.6</v>
      </c>
      <c r="E67" s="32">
        <f t="shared" si="55"/>
        <v>-47.572815533980588</v>
      </c>
      <c r="F67" s="31">
        <v>10.8</v>
      </c>
      <c r="G67" s="32">
        <f t="shared" si="56"/>
        <v>-31.481481481481485</v>
      </c>
      <c r="H67" s="31">
        <v>7.4</v>
      </c>
      <c r="I67" s="32">
        <f t="shared" si="57"/>
        <v>-43.243243243243242</v>
      </c>
      <c r="J67" s="31">
        <v>4.2</v>
      </c>
      <c r="K67" s="32">
        <f t="shared" si="58"/>
        <v>-2.3809523809523934</v>
      </c>
      <c r="L67" s="31">
        <v>4.0999999999999996</v>
      </c>
      <c r="M67" s="32" t="str">
        <f t="shared" si="59"/>
        <v>-</v>
      </c>
      <c r="N67" s="31"/>
      <c r="O67" s="32" t="str">
        <f t="shared" si="60"/>
        <v>-</v>
      </c>
      <c r="P67" s="31">
        <v>7.1</v>
      </c>
      <c r="Q67" s="32">
        <f t="shared" si="61"/>
        <v>-7.042253521126761</v>
      </c>
      <c r="R67" s="31">
        <v>6.6</v>
      </c>
      <c r="S67" s="32" t="str">
        <f t="shared" si="62"/>
        <v>-</v>
      </c>
      <c r="T67" s="31"/>
      <c r="U67" s="32" t="str">
        <f t="shared" si="63"/>
        <v>-</v>
      </c>
      <c r="V67" s="31">
        <v>4.0999999999999996</v>
      </c>
      <c r="W67" s="32" t="str">
        <f t="shared" si="64"/>
        <v>-</v>
      </c>
      <c r="X67" s="31"/>
      <c r="Y67" s="32" t="str">
        <f t="shared" si="65"/>
        <v>-</v>
      </c>
      <c r="Z67" s="31"/>
      <c r="AA67" s="32" t="str">
        <f t="shared" si="66"/>
        <v>-</v>
      </c>
      <c r="AB67" s="31"/>
      <c r="AC67" s="32" t="str">
        <f t="shared" si="67"/>
        <v>-</v>
      </c>
      <c r="AD67" s="31"/>
      <c r="AE67" s="32" t="str">
        <f t="shared" si="68"/>
        <v>-</v>
      </c>
      <c r="AF67" s="31"/>
    </row>
    <row r="68" spans="1:32" ht="14.25" outlineLevel="1">
      <c r="A68" s="304" t="s">
        <v>123</v>
      </c>
      <c r="B68" s="294"/>
      <c r="C68" s="30" t="e">
        <f ca="1">'BD tratado'!D66</f>
        <v>#NAME?</v>
      </c>
      <c r="D68" s="31"/>
      <c r="E68" s="32" t="str">
        <f t="shared" si="55"/>
        <v>-</v>
      </c>
      <c r="F68" s="31"/>
      <c r="G68" s="32" t="str">
        <f t="shared" si="56"/>
        <v>-</v>
      </c>
      <c r="H68" s="31"/>
      <c r="I68" s="32" t="str">
        <f t="shared" si="57"/>
        <v>-</v>
      </c>
      <c r="J68" s="31"/>
      <c r="K68" s="32" t="str">
        <f t="shared" si="58"/>
        <v>-</v>
      </c>
      <c r="L68" s="31"/>
      <c r="M68" s="32" t="str">
        <f t="shared" si="59"/>
        <v>-</v>
      </c>
      <c r="N68" s="31"/>
      <c r="O68" s="32" t="str">
        <f t="shared" si="60"/>
        <v>-</v>
      </c>
      <c r="P68" s="31"/>
      <c r="Q68" s="32" t="str">
        <f t="shared" si="61"/>
        <v>-</v>
      </c>
      <c r="R68" s="31"/>
      <c r="S68" s="32" t="str">
        <f t="shared" si="62"/>
        <v>-</v>
      </c>
      <c r="T68" s="31"/>
      <c r="U68" s="32" t="str">
        <f t="shared" si="63"/>
        <v>-</v>
      </c>
      <c r="V68" s="31"/>
      <c r="W68" s="32" t="str">
        <f t="shared" si="64"/>
        <v>-</v>
      </c>
      <c r="X68" s="31"/>
      <c r="Y68" s="32" t="str">
        <f t="shared" si="65"/>
        <v>-</v>
      </c>
      <c r="Z68" s="31"/>
      <c r="AA68" s="32" t="str">
        <f t="shared" si="66"/>
        <v>-</v>
      </c>
      <c r="AB68" s="31"/>
      <c r="AC68" s="32" t="str">
        <f t="shared" si="67"/>
        <v>-</v>
      </c>
      <c r="AD68" s="31"/>
      <c r="AE68" s="32" t="str">
        <f t="shared" si="68"/>
        <v>-</v>
      </c>
      <c r="AF68" s="31"/>
    </row>
    <row r="69" spans="1:32" ht="14.25" outlineLevel="1">
      <c r="A69" s="304" t="s">
        <v>124</v>
      </c>
      <c r="B69" s="294"/>
      <c r="C69" s="30" t="e">
        <f ca="1">'BD tratado'!D67</f>
        <v>#NAME?</v>
      </c>
      <c r="D69" s="31"/>
      <c r="E69" s="32" t="str">
        <f t="shared" si="55"/>
        <v>-</v>
      </c>
      <c r="F69" s="31"/>
      <c r="G69" s="32" t="str">
        <f t="shared" si="56"/>
        <v>-</v>
      </c>
      <c r="H69" s="31"/>
      <c r="I69" s="32" t="str">
        <f t="shared" si="57"/>
        <v>-</v>
      </c>
      <c r="J69" s="31"/>
      <c r="K69" s="32" t="str">
        <f t="shared" si="58"/>
        <v>-</v>
      </c>
      <c r="L69" s="31"/>
      <c r="M69" s="32" t="str">
        <f t="shared" si="59"/>
        <v>-</v>
      </c>
      <c r="N69" s="31"/>
      <c r="O69" s="32" t="str">
        <f t="shared" si="60"/>
        <v>-</v>
      </c>
      <c r="P69" s="31"/>
      <c r="Q69" s="32" t="str">
        <f t="shared" si="61"/>
        <v>-</v>
      </c>
      <c r="R69" s="31"/>
      <c r="S69" s="32" t="str">
        <f t="shared" si="62"/>
        <v>-</v>
      </c>
      <c r="T69" s="31"/>
      <c r="U69" s="32" t="str">
        <f t="shared" si="63"/>
        <v>-</v>
      </c>
      <c r="V69" s="31"/>
      <c r="W69" s="32" t="str">
        <f t="shared" si="64"/>
        <v>-</v>
      </c>
      <c r="X69" s="31"/>
      <c r="Y69" s="32" t="str">
        <f t="shared" si="65"/>
        <v>-</v>
      </c>
      <c r="Z69" s="31"/>
      <c r="AA69" s="32" t="str">
        <f t="shared" si="66"/>
        <v>-</v>
      </c>
      <c r="AB69" s="31"/>
      <c r="AC69" s="32" t="str">
        <f t="shared" si="67"/>
        <v>-</v>
      </c>
      <c r="AD69" s="31"/>
      <c r="AE69" s="32" t="str">
        <f t="shared" si="68"/>
        <v>-</v>
      </c>
      <c r="AF69" s="31"/>
    </row>
    <row r="70" spans="1:32" ht="14.25" outlineLevel="1">
      <c r="A70" s="304" t="s">
        <v>125</v>
      </c>
      <c r="B70" s="294"/>
      <c r="C70" s="30" t="e">
        <f ca="1">'BD tratado'!D68</f>
        <v>#NAME?</v>
      </c>
      <c r="D70" s="33">
        <f>IF(D67,AVERAGE(D67:D69),"")</f>
        <v>20.6</v>
      </c>
      <c r="E70" s="32">
        <f t="shared" si="55"/>
        <v>-47.572815533980588</v>
      </c>
      <c r="F70" s="33">
        <f>IF(F67,AVERAGE(F67:F69),"")</f>
        <v>10.8</v>
      </c>
      <c r="G70" s="32">
        <f t="shared" si="56"/>
        <v>-31.481481481481485</v>
      </c>
      <c r="H70" s="33">
        <f>IF(H67,AVERAGE(H67:H69),"")</f>
        <v>7.4</v>
      </c>
      <c r="I70" s="32">
        <f t="shared" si="57"/>
        <v>-43.243243243243242</v>
      </c>
      <c r="J70" s="33">
        <f>IF(J67,AVERAGE(J67:J69),"")</f>
        <v>4.2</v>
      </c>
      <c r="K70" s="32">
        <f t="shared" si="58"/>
        <v>-2.3809523809523934</v>
      </c>
      <c r="L70" s="33">
        <f>IF(L67,AVERAGE(L67:L69),"")</f>
        <v>4.0999999999999996</v>
      </c>
      <c r="M70" s="32" t="str">
        <f t="shared" si="59"/>
        <v>-</v>
      </c>
      <c r="N70" s="15" t="str">
        <f>IF(N67,AVERAGE(N67:N69),"")</f>
        <v/>
      </c>
      <c r="O70" s="32" t="str">
        <f t="shared" si="60"/>
        <v>-</v>
      </c>
      <c r="P70" s="33">
        <f>IF(P67,AVERAGE(P67:P69),"")</f>
        <v>7.1</v>
      </c>
      <c r="Q70" s="32">
        <f t="shared" si="61"/>
        <v>-7.042253521126761</v>
      </c>
      <c r="R70" s="33">
        <f>IF(R67,AVERAGE(R67:R69),"")</f>
        <v>6.6</v>
      </c>
      <c r="S70" s="32" t="str">
        <f t="shared" si="62"/>
        <v>-</v>
      </c>
      <c r="T70" s="15" t="str">
        <f>IF(T67,AVERAGE(T67:T69),"")</f>
        <v/>
      </c>
      <c r="U70" s="32" t="str">
        <f t="shared" si="63"/>
        <v>-</v>
      </c>
      <c r="V70" s="33">
        <f>IF(V67,AVERAGE(V67:V69),"")</f>
        <v>4.0999999999999996</v>
      </c>
      <c r="W70" s="32" t="str">
        <f t="shared" si="64"/>
        <v>-</v>
      </c>
      <c r="X70" s="15" t="str">
        <f>IF(X67,AVERAGE(X67:X69),"")</f>
        <v/>
      </c>
      <c r="Y70" s="32" t="str">
        <f t="shared" si="65"/>
        <v>-</v>
      </c>
      <c r="Z70" s="15" t="str">
        <f>IF(Z67,AVERAGE(Z67:Z69),"")</f>
        <v/>
      </c>
      <c r="AA70" s="32" t="str">
        <f t="shared" si="66"/>
        <v>-</v>
      </c>
      <c r="AB70" s="15" t="str">
        <f>IF(AB67,AVERAGE(AB67:AB69),"")</f>
        <v/>
      </c>
      <c r="AC70" s="32" t="str">
        <f t="shared" si="67"/>
        <v>-</v>
      </c>
      <c r="AD70" s="15" t="str">
        <f>IF(AD67,AVERAGE(AD67:AD69),"")</f>
        <v/>
      </c>
      <c r="AE70" s="32" t="str">
        <f t="shared" si="68"/>
        <v>-</v>
      </c>
      <c r="AF70" s="15" t="str">
        <f>IF(AF67,AVERAGE(AF67:AF69),"")</f>
        <v/>
      </c>
    </row>
    <row r="71" spans="1:32" ht="14.25" outlineLevel="1">
      <c r="A71" s="304" t="s">
        <v>126</v>
      </c>
      <c r="B71" s="294"/>
      <c r="C71" s="30" t="e">
        <f ca="1">'BD tratado'!D69</f>
        <v>#NAME?</v>
      </c>
      <c r="D71" s="33">
        <f>IF(D66,D66+D70,"")</f>
        <v>39.5</v>
      </c>
      <c r="E71" s="32">
        <f t="shared" si="55"/>
        <v>-53.670886075949369</v>
      </c>
      <c r="F71" s="33">
        <f>IF(F66,F66+F70,"")</f>
        <v>18.3</v>
      </c>
      <c r="G71" s="32">
        <f t="shared" si="56"/>
        <v>-36.06557377049181</v>
      </c>
      <c r="H71" s="33">
        <f>IF(H66,H66+H70,"")</f>
        <v>11.7</v>
      </c>
      <c r="I71" s="32">
        <f t="shared" si="57"/>
        <v>-11.111111111111102</v>
      </c>
      <c r="J71" s="33">
        <f>IF(J66,J66+J70,"")</f>
        <v>10.4</v>
      </c>
      <c r="K71" s="32">
        <f t="shared" si="58"/>
        <v>0.96153846153845812</v>
      </c>
      <c r="L71" s="33">
        <f>IF(L66,L66+L70,"")</f>
        <v>10.5</v>
      </c>
      <c r="M71" s="32" t="e">
        <f t="shared" si="59"/>
        <v>#VALUE!</v>
      </c>
      <c r="N71" s="15" t="e">
        <f>IF(N66,N66+N70,"")</f>
        <v>#VALUE!</v>
      </c>
      <c r="O71" s="32" t="e">
        <f t="shared" si="60"/>
        <v>#VALUE!</v>
      </c>
      <c r="P71" s="33">
        <f>IF(P66,P66+P70,"")</f>
        <v>12.8</v>
      </c>
      <c r="Q71" s="32">
        <f t="shared" si="61"/>
        <v>-9.3750000000000089</v>
      </c>
      <c r="R71" s="33">
        <f>IF(R66,R66+R70,"")</f>
        <v>11.6</v>
      </c>
      <c r="S71" s="32" t="e">
        <f t="shared" si="62"/>
        <v>#VALUE!</v>
      </c>
      <c r="T71" s="15" t="e">
        <f>IF(T66,T66+T70,"")</f>
        <v>#VALUE!</v>
      </c>
      <c r="U71" s="32" t="e">
        <f t="shared" si="63"/>
        <v>#VALUE!</v>
      </c>
      <c r="V71" s="33">
        <f>IF(V66,V66+V70,"")</f>
        <v>8.1</v>
      </c>
      <c r="W71" s="32" t="e">
        <f t="shared" si="64"/>
        <v>#VALUE!</v>
      </c>
      <c r="X71" s="15" t="e">
        <f>IF(X66,X66+X70,"")</f>
        <v>#VALUE!</v>
      </c>
      <c r="Y71" s="32" t="e">
        <f t="shared" si="65"/>
        <v>#VALUE!</v>
      </c>
      <c r="Z71" s="15" t="e">
        <f>IF(Z66,Z66+Z70,"")</f>
        <v>#VALUE!</v>
      </c>
      <c r="AA71" s="32" t="e">
        <f t="shared" si="66"/>
        <v>#VALUE!</v>
      </c>
      <c r="AB71" s="15" t="e">
        <f>IF(AB66,AB66+AB70,"")</f>
        <v>#VALUE!</v>
      </c>
      <c r="AC71" s="32" t="e">
        <f t="shared" si="67"/>
        <v>#VALUE!</v>
      </c>
      <c r="AD71" s="15" t="e">
        <f>IF(AD66,AD66+AD70,"")</f>
        <v>#VALUE!</v>
      </c>
      <c r="AE71" s="32" t="e">
        <f t="shared" si="68"/>
        <v>#VALUE!</v>
      </c>
      <c r="AF71" s="15" t="e">
        <f>IF(AF66,AF66+AF70,"")</f>
        <v>#VALUE!</v>
      </c>
    </row>
    <row r="72" spans="1:32" ht="14.25" outlineLevel="1">
      <c r="A72" s="304" t="s">
        <v>127</v>
      </c>
      <c r="B72" s="294"/>
      <c r="C72" s="30" t="e">
        <f ca="1">'BD tratado'!D70</f>
        <v>#NAME?</v>
      </c>
      <c r="D72" s="31">
        <v>4.2</v>
      </c>
      <c r="E72" s="32">
        <f t="shared" si="55"/>
        <v>-16.666666666666668</v>
      </c>
      <c r="F72" s="31">
        <v>3.5</v>
      </c>
      <c r="G72" s="32">
        <f t="shared" si="56"/>
        <v>-2.8571428571428599</v>
      </c>
      <c r="H72" s="31">
        <v>3.4</v>
      </c>
      <c r="I72" s="32">
        <f t="shared" si="57"/>
        <v>35.294117647058819</v>
      </c>
      <c r="J72" s="31">
        <v>4.5999999999999996</v>
      </c>
      <c r="K72" s="32">
        <f t="shared" si="58"/>
        <v>-4.3478260869565064</v>
      </c>
      <c r="L72" s="31">
        <v>4.4000000000000004</v>
      </c>
      <c r="M72" s="32" t="str">
        <f t="shared" si="59"/>
        <v>-</v>
      </c>
      <c r="N72" s="31"/>
      <c r="O72" s="32" t="str">
        <f t="shared" si="60"/>
        <v>-</v>
      </c>
      <c r="P72" s="31">
        <v>1.6</v>
      </c>
      <c r="Q72" s="32">
        <f t="shared" si="61"/>
        <v>31.25</v>
      </c>
      <c r="R72" s="31">
        <v>2.1</v>
      </c>
      <c r="S72" s="32" t="str">
        <f t="shared" si="62"/>
        <v>-</v>
      </c>
      <c r="T72" s="31"/>
      <c r="U72" s="32" t="str">
        <f t="shared" si="63"/>
        <v>-</v>
      </c>
      <c r="V72" s="31">
        <v>1.4</v>
      </c>
      <c r="W72" s="32" t="str">
        <f t="shared" si="64"/>
        <v>-</v>
      </c>
      <c r="X72" s="31"/>
      <c r="Y72" s="32" t="str">
        <f t="shared" si="65"/>
        <v>-</v>
      </c>
      <c r="Z72" s="31"/>
      <c r="AA72" s="32" t="str">
        <f t="shared" si="66"/>
        <v>-</v>
      </c>
      <c r="AB72" s="31"/>
      <c r="AC72" s="32" t="str">
        <f t="shared" si="67"/>
        <v>-</v>
      </c>
      <c r="AD72" s="31"/>
      <c r="AE72" s="32" t="str">
        <f t="shared" si="68"/>
        <v>-</v>
      </c>
      <c r="AF72" s="31"/>
    </row>
    <row r="73" spans="1:32" ht="14.25" outlineLevel="1">
      <c r="A73" s="304" t="s">
        <v>128</v>
      </c>
      <c r="B73" s="294"/>
      <c r="C73" s="30" t="e">
        <f ca="1">'BD tratado'!D71</f>
        <v>#NAME?</v>
      </c>
      <c r="D73" s="31"/>
      <c r="E73" s="32" t="str">
        <f t="shared" si="55"/>
        <v>-</v>
      </c>
      <c r="F73" s="31"/>
      <c r="G73" s="32" t="str">
        <f t="shared" si="56"/>
        <v>-</v>
      </c>
      <c r="H73" s="31"/>
      <c r="I73" s="32" t="str">
        <f t="shared" si="57"/>
        <v>-</v>
      </c>
      <c r="J73" s="31"/>
      <c r="K73" s="32" t="str">
        <f t="shared" si="58"/>
        <v>-</v>
      </c>
      <c r="L73" s="31"/>
      <c r="M73" s="32" t="str">
        <f t="shared" si="59"/>
        <v>-</v>
      </c>
      <c r="N73" s="31"/>
      <c r="O73" s="32" t="str">
        <f t="shared" si="60"/>
        <v>-</v>
      </c>
      <c r="P73" s="31"/>
      <c r="Q73" s="32" t="str">
        <f t="shared" si="61"/>
        <v>-</v>
      </c>
      <c r="R73" s="31"/>
      <c r="S73" s="32" t="str">
        <f t="shared" si="62"/>
        <v>-</v>
      </c>
      <c r="T73" s="31"/>
      <c r="U73" s="32" t="str">
        <f t="shared" si="63"/>
        <v>-</v>
      </c>
      <c r="V73" s="31"/>
      <c r="W73" s="32" t="str">
        <f t="shared" si="64"/>
        <v>-</v>
      </c>
      <c r="X73" s="31"/>
      <c r="Y73" s="32" t="str">
        <f t="shared" si="65"/>
        <v>-</v>
      </c>
      <c r="Z73" s="31"/>
      <c r="AA73" s="32" t="str">
        <f t="shared" si="66"/>
        <v>-</v>
      </c>
      <c r="AB73" s="31"/>
      <c r="AC73" s="32" t="str">
        <f t="shared" si="67"/>
        <v>-</v>
      </c>
      <c r="AD73" s="31"/>
      <c r="AE73" s="32" t="str">
        <f t="shared" si="68"/>
        <v>-</v>
      </c>
      <c r="AF73" s="31"/>
    </row>
    <row r="74" spans="1:32" ht="14.25" outlineLevel="1">
      <c r="A74" s="304" t="s">
        <v>129</v>
      </c>
      <c r="B74" s="294"/>
      <c r="C74" s="30" t="e">
        <f ca="1">'BD tratado'!D72</f>
        <v>#NAME?</v>
      </c>
      <c r="D74" s="31"/>
      <c r="E74" s="32" t="str">
        <f t="shared" si="55"/>
        <v>-</v>
      </c>
      <c r="F74" s="31"/>
      <c r="G74" s="32" t="str">
        <f t="shared" si="56"/>
        <v>-</v>
      </c>
      <c r="H74" s="31"/>
      <c r="I74" s="32" t="str">
        <f t="shared" si="57"/>
        <v>-</v>
      </c>
      <c r="J74" s="31"/>
      <c r="K74" s="32" t="str">
        <f t="shared" si="58"/>
        <v>-</v>
      </c>
      <c r="L74" s="31"/>
      <c r="M74" s="32" t="str">
        <f t="shared" si="59"/>
        <v>-</v>
      </c>
      <c r="N74" s="31"/>
      <c r="O74" s="32" t="str">
        <f t="shared" si="60"/>
        <v>-</v>
      </c>
      <c r="P74" s="31"/>
      <c r="Q74" s="32" t="str">
        <f t="shared" si="61"/>
        <v>-</v>
      </c>
      <c r="R74" s="31"/>
      <c r="S74" s="32" t="str">
        <f t="shared" si="62"/>
        <v>-</v>
      </c>
      <c r="T74" s="31"/>
      <c r="U74" s="32" t="str">
        <f t="shared" si="63"/>
        <v>-</v>
      </c>
      <c r="V74" s="31"/>
      <c r="W74" s="32" t="str">
        <f t="shared" si="64"/>
        <v>-</v>
      </c>
      <c r="X74" s="31"/>
      <c r="Y74" s="32" t="str">
        <f t="shared" si="65"/>
        <v>-</v>
      </c>
      <c r="Z74" s="31"/>
      <c r="AA74" s="32" t="str">
        <f t="shared" si="66"/>
        <v>-</v>
      </c>
      <c r="AB74" s="31"/>
      <c r="AC74" s="32" t="str">
        <f t="shared" si="67"/>
        <v>-</v>
      </c>
      <c r="AD74" s="31"/>
      <c r="AE74" s="32" t="str">
        <f t="shared" si="68"/>
        <v>-</v>
      </c>
      <c r="AF74" s="31"/>
    </row>
    <row r="75" spans="1:32" ht="14.25" outlineLevel="1">
      <c r="A75" s="304" t="s">
        <v>130</v>
      </c>
      <c r="B75" s="294"/>
      <c r="C75" s="30" t="e">
        <f ca="1">'BD tratado'!D73</f>
        <v>#NAME?</v>
      </c>
      <c r="D75" s="31"/>
      <c r="E75" s="32" t="str">
        <f t="shared" si="55"/>
        <v>-</v>
      </c>
      <c r="F75" s="31"/>
      <c r="G75" s="32" t="str">
        <f t="shared" si="56"/>
        <v>-</v>
      </c>
      <c r="H75" s="31"/>
      <c r="I75" s="32" t="str">
        <f t="shared" si="57"/>
        <v>-</v>
      </c>
      <c r="J75" s="31"/>
      <c r="K75" s="32" t="str">
        <f t="shared" si="58"/>
        <v>-</v>
      </c>
      <c r="L75" s="31"/>
      <c r="M75" s="32" t="str">
        <f t="shared" si="59"/>
        <v>-</v>
      </c>
      <c r="N75" s="31"/>
      <c r="O75" s="32" t="str">
        <f t="shared" si="60"/>
        <v>-</v>
      </c>
      <c r="P75" s="31"/>
      <c r="Q75" s="32" t="str">
        <f t="shared" si="61"/>
        <v>-</v>
      </c>
      <c r="R75" s="31"/>
      <c r="S75" s="32" t="str">
        <f t="shared" si="62"/>
        <v>-</v>
      </c>
      <c r="T75" s="31"/>
      <c r="U75" s="32" t="str">
        <f t="shared" si="63"/>
        <v>-</v>
      </c>
      <c r="V75" s="31"/>
      <c r="W75" s="32" t="str">
        <f t="shared" si="64"/>
        <v>-</v>
      </c>
      <c r="X75" s="31"/>
      <c r="Y75" s="32" t="str">
        <f t="shared" si="65"/>
        <v>-</v>
      </c>
      <c r="Z75" s="31"/>
      <c r="AA75" s="32" t="str">
        <f t="shared" si="66"/>
        <v>-</v>
      </c>
      <c r="AB75" s="31"/>
      <c r="AC75" s="32" t="str">
        <f t="shared" si="67"/>
        <v>-</v>
      </c>
      <c r="AD75" s="31"/>
      <c r="AE75" s="32" t="str">
        <f t="shared" si="68"/>
        <v>-</v>
      </c>
      <c r="AF75" s="31"/>
    </row>
    <row r="76" spans="1:32" ht="14.25" outlineLevel="1">
      <c r="A76" s="304" t="s">
        <v>131</v>
      </c>
      <c r="B76" s="294"/>
      <c r="C76" s="30" t="e">
        <f ca="1">'BD tratado'!D74</f>
        <v>#NAME?</v>
      </c>
      <c r="D76" s="31"/>
      <c r="E76" s="32" t="str">
        <f t="shared" si="55"/>
        <v>-</v>
      </c>
      <c r="F76" s="31"/>
      <c r="G76" s="32" t="str">
        <f t="shared" si="56"/>
        <v>-</v>
      </c>
      <c r="H76" s="31"/>
      <c r="I76" s="32" t="str">
        <f t="shared" si="57"/>
        <v>-</v>
      </c>
      <c r="J76" s="31"/>
      <c r="K76" s="32" t="str">
        <f t="shared" si="58"/>
        <v>-</v>
      </c>
      <c r="L76" s="31"/>
      <c r="M76" s="32" t="str">
        <f t="shared" si="59"/>
        <v>-</v>
      </c>
      <c r="N76" s="31"/>
      <c r="O76" s="32" t="str">
        <f t="shared" si="60"/>
        <v>-</v>
      </c>
      <c r="P76" s="31"/>
      <c r="Q76" s="32" t="str">
        <f t="shared" si="61"/>
        <v>-</v>
      </c>
      <c r="R76" s="31"/>
      <c r="S76" s="32" t="str">
        <f t="shared" si="62"/>
        <v>-</v>
      </c>
      <c r="T76" s="31"/>
      <c r="U76" s="32" t="str">
        <f t="shared" si="63"/>
        <v>-</v>
      </c>
      <c r="V76" s="31"/>
      <c r="W76" s="32" t="str">
        <f t="shared" si="64"/>
        <v>-</v>
      </c>
      <c r="X76" s="31"/>
      <c r="Y76" s="32" t="str">
        <f t="shared" si="65"/>
        <v>-</v>
      </c>
      <c r="Z76" s="31"/>
      <c r="AA76" s="32" t="str">
        <f t="shared" si="66"/>
        <v>-</v>
      </c>
      <c r="AB76" s="31"/>
      <c r="AC76" s="32" t="str">
        <f t="shared" si="67"/>
        <v>-</v>
      </c>
      <c r="AD76" s="31"/>
      <c r="AE76" s="32" t="str">
        <f t="shared" si="68"/>
        <v>-</v>
      </c>
      <c r="AF76" s="31"/>
    </row>
    <row r="77" spans="1:32" ht="14.25" outlineLevel="1">
      <c r="A77" s="304" t="s">
        <v>132</v>
      </c>
      <c r="B77" s="294"/>
      <c r="C77" s="30" t="e">
        <f ca="1">'BD tratado'!D75</f>
        <v>#NAME?</v>
      </c>
      <c r="D77" s="31"/>
      <c r="E77" s="32" t="str">
        <f t="shared" si="55"/>
        <v>-</v>
      </c>
      <c r="F77" s="31"/>
      <c r="G77" s="32" t="str">
        <f t="shared" si="56"/>
        <v>-</v>
      </c>
      <c r="H77" s="31"/>
      <c r="I77" s="32" t="str">
        <f t="shared" si="57"/>
        <v>-</v>
      </c>
      <c r="J77" s="31"/>
      <c r="K77" s="32" t="str">
        <f t="shared" si="58"/>
        <v>-</v>
      </c>
      <c r="L77" s="31"/>
      <c r="M77" s="32" t="str">
        <f t="shared" si="59"/>
        <v>-</v>
      </c>
      <c r="N77" s="31"/>
      <c r="O77" s="32" t="str">
        <f t="shared" si="60"/>
        <v>-</v>
      </c>
      <c r="P77" s="31"/>
      <c r="Q77" s="32" t="str">
        <f t="shared" si="61"/>
        <v>-</v>
      </c>
      <c r="R77" s="31"/>
      <c r="S77" s="32" t="str">
        <f t="shared" si="62"/>
        <v>-</v>
      </c>
      <c r="T77" s="31"/>
      <c r="U77" s="32" t="str">
        <f t="shared" si="63"/>
        <v>-</v>
      </c>
      <c r="V77" s="31"/>
      <c r="W77" s="32" t="str">
        <f t="shared" si="64"/>
        <v>-</v>
      </c>
      <c r="X77" s="31"/>
      <c r="Y77" s="32" t="str">
        <f t="shared" si="65"/>
        <v>-</v>
      </c>
      <c r="Z77" s="31"/>
      <c r="AA77" s="32" t="str">
        <f t="shared" si="66"/>
        <v>-</v>
      </c>
      <c r="AB77" s="31"/>
      <c r="AC77" s="32" t="str">
        <f t="shared" si="67"/>
        <v>-</v>
      </c>
      <c r="AD77" s="31"/>
      <c r="AE77" s="32" t="str">
        <f t="shared" si="68"/>
        <v>-</v>
      </c>
      <c r="AF77" s="31"/>
    </row>
    <row r="78" spans="1:32" ht="14.25" outlineLevel="1">
      <c r="A78" s="304" t="s">
        <v>133</v>
      </c>
      <c r="B78" s="294"/>
      <c r="C78" s="30" t="e">
        <f ca="1">'BD tratado'!D76</f>
        <v>#NAME?</v>
      </c>
      <c r="D78" s="31"/>
      <c r="E78" s="32" t="str">
        <f t="shared" si="55"/>
        <v>-</v>
      </c>
      <c r="F78" s="31"/>
      <c r="G78" s="32" t="str">
        <f t="shared" si="56"/>
        <v>-</v>
      </c>
      <c r="H78" s="31"/>
      <c r="I78" s="32" t="str">
        <f t="shared" si="57"/>
        <v>-</v>
      </c>
      <c r="J78" s="31"/>
      <c r="K78" s="32" t="str">
        <f t="shared" si="58"/>
        <v>-</v>
      </c>
      <c r="L78" s="31"/>
      <c r="M78" s="32" t="str">
        <f t="shared" si="59"/>
        <v>-</v>
      </c>
      <c r="N78" s="31"/>
      <c r="O78" s="32" t="str">
        <f t="shared" si="60"/>
        <v>-</v>
      </c>
      <c r="P78" s="31"/>
      <c r="Q78" s="32" t="str">
        <f t="shared" si="61"/>
        <v>-</v>
      </c>
      <c r="R78" s="31"/>
      <c r="S78" s="32" t="str">
        <f t="shared" si="62"/>
        <v>-</v>
      </c>
      <c r="T78" s="31"/>
      <c r="U78" s="32" t="str">
        <f t="shared" si="63"/>
        <v>-</v>
      </c>
      <c r="V78" s="31"/>
      <c r="W78" s="32" t="str">
        <f t="shared" si="64"/>
        <v>-</v>
      </c>
      <c r="X78" s="31"/>
      <c r="Y78" s="32" t="str">
        <f t="shared" si="65"/>
        <v>-</v>
      </c>
      <c r="Z78" s="31"/>
      <c r="AA78" s="32" t="str">
        <f t="shared" si="66"/>
        <v>-</v>
      </c>
      <c r="AB78" s="31"/>
      <c r="AC78" s="32" t="str">
        <f t="shared" si="67"/>
        <v>-</v>
      </c>
      <c r="AD78" s="31"/>
      <c r="AE78" s="32" t="str">
        <f t="shared" si="68"/>
        <v>-</v>
      </c>
      <c r="AF78" s="31"/>
    </row>
    <row r="79" spans="1:32" ht="14.25" outlineLevel="1">
      <c r="A79" s="304" t="s">
        <v>134</v>
      </c>
      <c r="B79" s="294"/>
      <c r="C79" s="30" t="e">
        <f ca="1">'BD tratado'!D77</f>
        <v>#NAME?</v>
      </c>
      <c r="D79" s="31"/>
      <c r="E79" s="32" t="str">
        <f t="shared" si="55"/>
        <v>-</v>
      </c>
      <c r="F79" s="31"/>
      <c r="G79" s="32" t="str">
        <f t="shared" si="56"/>
        <v>-</v>
      </c>
      <c r="H79" s="31"/>
      <c r="I79" s="32" t="str">
        <f t="shared" si="57"/>
        <v>-</v>
      </c>
      <c r="J79" s="31"/>
      <c r="K79" s="32" t="str">
        <f t="shared" si="58"/>
        <v>-</v>
      </c>
      <c r="L79" s="31"/>
      <c r="M79" s="32" t="str">
        <f t="shared" si="59"/>
        <v>-</v>
      </c>
      <c r="N79" s="31"/>
      <c r="O79" s="32" t="str">
        <f t="shared" si="60"/>
        <v>-</v>
      </c>
      <c r="P79" s="31"/>
      <c r="Q79" s="32" t="str">
        <f t="shared" si="61"/>
        <v>-</v>
      </c>
      <c r="R79" s="31"/>
      <c r="S79" s="32" t="str">
        <f t="shared" si="62"/>
        <v>-</v>
      </c>
      <c r="T79" s="31"/>
      <c r="U79" s="32" t="str">
        <f t="shared" si="63"/>
        <v>-</v>
      </c>
      <c r="V79" s="31"/>
      <c r="W79" s="32" t="str">
        <f t="shared" si="64"/>
        <v>-</v>
      </c>
      <c r="X79" s="31"/>
      <c r="Y79" s="32" t="str">
        <f t="shared" si="65"/>
        <v>-</v>
      </c>
      <c r="Z79" s="31"/>
      <c r="AA79" s="32" t="str">
        <f t="shared" si="66"/>
        <v>-</v>
      </c>
      <c r="AB79" s="31"/>
      <c r="AC79" s="32" t="str">
        <f t="shared" si="67"/>
        <v>-</v>
      </c>
      <c r="AD79" s="31"/>
      <c r="AE79" s="32" t="str">
        <f t="shared" si="68"/>
        <v>-</v>
      </c>
      <c r="AF79" s="31"/>
    </row>
    <row r="80" spans="1:32" ht="14.25" outlineLevel="1">
      <c r="A80" s="304" t="s">
        <v>135</v>
      </c>
      <c r="B80" s="294"/>
      <c r="C80" s="30" t="e">
        <f ca="1">'BD tratado'!D78</f>
        <v>#NAME?</v>
      </c>
      <c r="D80" s="31"/>
      <c r="E80" s="32" t="str">
        <f t="shared" si="55"/>
        <v>-</v>
      </c>
      <c r="F80" s="31"/>
      <c r="G80" s="32" t="str">
        <f t="shared" si="56"/>
        <v>-</v>
      </c>
      <c r="H80" s="31"/>
      <c r="I80" s="32" t="str">
        <f t="shared" si="57"/>
        <v>-</v>
      </c>
      <c r="J80" s="31"/>
      <c r="K80" s="32" t="str">
        <f t="shared" si="58"/>
        <v>-</v>
      </c>
      <c r="L80" s="31"/>
      <c r="M80" s="32" t="str">
        <f t="shared" si="59"/>
        <v>-</v>
      </c>
      <c r="N80" s="31"/>
      <c r="O80" s="32" t="str">
        <f t="shared" si="60"/>
        <v>-</v>
      </c>
      <c r="P80" s="31"/>
      <c r="Q80" s="32" t="str">
        <f t="shared" si="61"/>
        <v>-</v>
      </c>
      <c r="R80" s="31"/>
      <c r="S80" s="32" t="str">
        <f t="shared" si="62"/>
        <v>-</v>
      </c>
      <c r="T80" s="31"/>
      <c r="U80" s="32" t="str">
        <f t="shared" si="63"/>
        <v>-</v>
      </c>
      <c r="V80" s="31"/>
      <c r="W80" s="32" t="str">
        <f t="shared" si="64"/>
        <v>-</v>
      </c>
      <c r="X80" s="31"/>
      <c r="Y80" s="32" t="str">
        <f t="shared" si="65"/>
        <v>-</v>
      </c>
      <c r="Z80" s="31"/>
      <c r="AA80" s="32" t="str">
        <f t="shared" si="66"/>
        <v>-</v>
      </c>
      <c r="AB80" s="31"/>
      <c r="AC80" s="32" t="str">
        <f t="shared" si="67"/>
        <v>-</v>
      </c>
      <c r="AD80" s="31"/>
      <c r="AE80" s="32" t="str">
        <f t="shared" si="68"/>
        <v>-</v>
      </c>
      <c r="AF80" s="31"/>
    </row>
    <row r="81" spans="1:32" ht="14.25" outlineLevel="1">
      <c r="A81" s="304" t="s">
        <v>136</v>
      </c>
      <c r="B81" s="294"/>
      <c r="C81" s="30" t="e">
        <f ca="1">'BD tratado'!D79</f>
        <v>#NAME?</v>
      </c>
      <c r="D81" s="33">
        <f>IF(D72,AVERAGE(D72:D80),"")</f>
        <v>4.2</v>
      </c>
      <c r="E81" s="32">
        <f t="shared" si="55"/>
        <v>-16.666666666666668</v>
      </c>
      <c r="F81" s="33">
        <f>IF(F72,AVERAGE(F72:F80),"")</f>
        <v>3.5</v>
      </c>
      <c r="G81" s="32">
        <f t="shared" si="56"/>
        <v>-2.8571428571428599</v>
      </c>
      <c r="H81" s="33">
        <f>IF(H72,AVERAGE(H72:H80),"")</f>
        <v>3.4</v>
      </c>
      <c r="I81" s="32">
        <f t="shared" si="57"/>
        <v>35.294117647058819</v>
      </c>
      <c r="J81" s="33">
        <f>IF(J72,AVERAGE(J72:J80),"")</f>
        <v>4.5999999999999996</v>
      </c>
      <c r="K81" s="32">
        <f t="shared" si="58"/>
        <v>-4.3478260869565064</v>
      </c>
      <c r="L81" s="33">
        <f>IF(L72,AVERAGE(L72:L80),"")</f>
        <v>4.4000000000000004</v>
      </c>
      <c r="M81" s="32" t="str">
        <f t="shared" si="59"/>
        <v>-</v>
      </c>
      <c r="N81" s="15" t="str">
        <f>IF(N72,AVERAGE(N72:N80),"")</f>
        <v/>
      </c>
      <c r="O81" s="32" t="str">
        <f t="shared" si="60"/>
        <v>-</v>
      </c>
      <c r="P81" s="33">
        <f>IF(P72,AVERAGE(P72:P80),"")</f>
        <v>1.6</v>
      </c>
      <c r="Q81" s="32">
        <f t="shared" si="61"/>
        <v>31.25</v>
      </c>
      <c r="R81" s="33">
        <f>IF(R72,AVERAGE(R72:R80),"")</f>
        <v>2.1</v>
      </c>
      <c r="S81" s="32" t="str">
        <f t="shared" si="62"/>
        <v>-</v>
      </c>
      <c r="T81" s="15" t="str">
        <f>IF(T72,AVERAGE(T72:T80),"")</f>
        <v/>
      </c>
      <c r="U81" s="32" t="str">
        <f t="shared" si="63"/>
        <v>-</v>
      </c>
      <c r="V81" s="33">
        <f>IF(V72,AVERAGE(V72:V80),"")</f>
        <v>1.4</v>
      </c>
      <c r="W81" s="32" t="str">
        <f t="shared" si="64"/>
        <v>-</v>
      </c>
      <c r="X81" s="15" t="str">
        <f>IF(X72,AVERAGE(X72:X80),"")</f>
        <v/>
      </c>
      <c r="Y81" s="32" t="str">
        <f t="shared" si="65"/>
        <v>-</v>
      </c>
      <c r="Z81" s="15" t="str">
        <f>IF(Z72,AVERAGE(Z72:Z80),"")</f>
        <v/>
      </c>
      <c r="AA81" s="32" t="str">
        <f t="shared" si="66"/>
        <v>-</v>
      </c>
      <c r="AB81" s="15" t="str">
        <f>IF(AB72,AVERAGE(AB72:AB80),"")</f>
        <v/>
      </c>
      <c r="AC81" s="32" t="str">
        <f t="shared" si="67"/>
        <v>-</v>
      </c>
      <c r="AD81" s="15" t="str">
        <f>IF(AD72,AVERAGE(AD72:AD80),"")</f>
        <v/>
      </c>
      <c r="AE81" s="32" t="str">
        <f t="shared" si="68"/>
        <v>-</v>
      </c>
      <c r="AF81" s="15" t="str">
        <f>IF(AF72,AVERAGE(AF72:AF80),"")</f>
        <v/>
      </c>
    </row>
    <row r="82" spans="1:32" ht="14.25" outlineLevel="1">
      <c r="A82" s="304" t="s">
        <v>137</v>
      </c>
      <c r="B82" s="294"/>
      <c r="C82" s="30" t="e">
        <f ca="1">'BD tratado'!D80</f>
        <v>#NAME?</v>
      </c>
      <c r="D82" s="31">
        <v>5.4</v>
      </c>
      <c r="E82" s="32">
        <f t="shared" si="55"/>
        <v>16.666666666666654</v>
      </c>
      <c r="F82" s="31">
        <v>6.3</v>
      </c>
      <c r="G82" s="32">
        <f t="shared" si="56"/>
        <v>-36.507936507936506</v>
      </c>
      <c r="H82" s="31">
        <v>4</v>
      </c>
      <c r="I82" s="32">
        <f t="shared" si="57"/>
        <v>7.4999999999999956</v>
      </c>
      <c r="J82" s="31">
        <v>4.3</v>
      </c>
      <c r="K82" s="32">
        <f t="shared" si="58"/>
        <v>-6.976744186046508</v>
      </c>
      <c r="L82" s="31">
        <v>4</v>
      </c>
      <c r="M82" s="32" t="str">
        <f t="shared" si="59"/>
        <v>-</v>
      </c>
      <c r="N82" s="31"/>
      <c r="O82" s="32" t="str">
        <f t="shared" si="60"/>
        <v>-</v>
      </c>
      <c r="P82" s="31">
        <v>1.8</v>
      </c>
      <c r="Q82" s="32">
        <f t="shared" si="61"/>
        <v>77.777777777777771</v>
      </c>
      <c r="R82" s="31">
        <v>3.2</v>
      </c>
      <c r="S82" s="32" t="str">
        <f t="shared" si="62"/>
        <v>-</v>
      </c>
      <c r="T82" s="31"/>
      <c r="U82" s="32" t="str">
        <f t="shared" si="63"/>
        <v>-</v>
      </c>
      <c r="V82" s="31">
        <v>2</v>
      </c>
      <c r="W82" s="32" t="str">
        <f t="shared" si="64"/>
        <v>-</v>
      </c>
      <c r="X82" s="31"/>
      <c r="Y82" s="32" t="str">
        <f t="shared" si="65"/>
        <v>-</v>
      </c>
      <c r="Z82" s="31"/>
      <c r="AA82" s="32" t="str">
        <f t="shared" si="66"/>
        <v>-</v>
      </c>
      <c r="AB82" s="31"/>
      <c r="AC82" s="32" t="str">
        <f t="shared" si="67"/>
        <v>-</v>
      </c>
      <c r="AD82" s="31"/>
      <c r="AE82" s="32" t="str">
        <f t="shared" si="68"/>
        <v>-</v>
      </c>
      <c r="AF82" s="31"/>
    </row>
    <row r="83" spans="1:32" ht="14.25" outlineLevel="1">
      <c r="A83" s="304" t="s">
        <v>138</v>
      </c>
      <c r="B83" s="294"/>
      <c r="C83" s="30" t="e">
        <f ca="1">'BD tratado'!D81</f>
        <v>#NAME?</v>
      </c>
      <c r="D83" s="31"/>
      <c r="E83" s="32" t="str">
        <f t="shared" si="55"/>
        <v>-</v>
      </c>
      <c r="F83" s="31"/>
      <c r="G83" s="32" t="str">
        <f t="shared" si="56"/>
        <v>-</v>
      </c>
      <c r="H83" s="31"/>
      <c r="I83" s="32" t="str">
        <f t="shared" si="57"/>
        <v>-</v>
      </c>
      <c r="J83" s="31"/>
      <c r="K83" s="32" t="str">
        <f t="shared" si="58"/>
        <v>-</v>
      </c>
      <c r="L83" s="31"/>
      <c r="M83" s="32" t="str">
        <f t="shared" si="59"/>
        <v>-</v>
      </c>
      <c r="N83" s="31"/>
      <c r="O83" s="32" t="str">
        <f t="shared" si="60"/>
        <v>-</v>
      </c>
      <c r="P83" s="31"/>
      <c r="Q83" s="32" t="str">
        <f t="shared" si="61"/>
        <v>-</v>
      </c>
      <c r="R83" s="31"/>
      <c r="S83" s="32" t="str">
        <f t="shared" si="62"/>
        <v>-</v>
      </c>
      <c r="T83" s="31"/>
      <c r="U83" s="32" t="str">
        <f t="shared" si="63"/>
        <v>-</v>
      </c>
      <c r="V83" s="31"/>
      <c r="W83" s="32" t="str">
        <f t="shared" si="64"/>
        <v>-</v>
      </c>
      <c r="X83" s="31"/>
      <c r="Y83" s="32" t="str">
        <f t="shared" si="65"/>
        <v>-</v>
      </c>
      <c r="Z83" s="31"/>
      <c r="AA83" s="32" t="str">
        <f t="shared" si="66"/>
        <v>-</v>
      </c>
      <c r="AB83" s="31"/>
      <c r="AC83" s="32" t="str">
        <f t="shared" si="67"/>
        <v>-</v>
      </c>
      <c r="AD83" s="31"/>
      <c r="AE83" s="32" t="str">
        <f t="shared" si="68"/>
        <v>-</v>
      </c>
      <c r="AF83" s="31"/>
    </row>
    <row r="84" spans="1:32" ht="14.25" outlineLevel="1">
      <c r="A84" s="304" t="s">
        <v>139</v>
      </c>
      <c r="B84" s="294"/>
      <c r="C84" s="30" t="e">
        <f ca="1">'BD tratado'!D82</f>
        <v>#NAME?</v>
      </c>
      <c r="D84" s="31"/>
      <c r="E84" s="32" t="str">
        <f t="shared" si="55"/>
        <v>-</v>
      </c>
      <c r="F84" s="31"/>
      <c r="G84" s="32" t="str">
        <f t="shared" si="56"/>
        <v>-</v>
      </c>
      <c r="H84" s="31"/>
      <c r="I84" s="32" t="str">
        <f t="shared" si="57"/>
        <v>-</v>
      </c>
      <c r="J84" s="31"/>
      <c r="K84" s="32" t="str">
        <f t="shared" si="58"/>
        <v>-</v>
      </c>
      <c r="L84" s="31"/>
      <c r="M84" s="32" t="str">
        <f t="shared" si="59"/>
        <v>-</v>
      </c>
      <c r="N84" s="31"/>
      <c r="O84" s="32" t="str">
        <f t="shared" si="60"/>
        <v>-</v>
      </c>
      <c r="P84" s="31"/>
      <c r="Q84" s="32" t="str">
        <f t="shared" si="61"/>
        <v>-</v>
      </c>
      <c r="R84" s="31"/>
      <c r="S84" s="32" t="str">
        <f t="shared" si="62"/>
        <v>-</v>
      </c>
      <c r="T84" s="31"/>
      <c r="U84" s="32" t="str">
        <f t="shared" si="63"/>
        <v>-</v>
      </c>
      <c r="V84" s="31"/>
      <c r="W84" s="32" t="str">
        <f t="shared" si="64"/>
        <v>-</v>
      </c>
      <c r="X84" s="31"/>
      <c r="Y84" s="32" t="str">
        <f t="shared" si="65"/>
        <v>-</v>
      </c>
      <c r="Z84" s="31"/>
      <c r="AA84" s="32" t="str">
        <f t="shared" si="66"/>
        <v>-</v>
      </c>
      <c r="AB84" s="31"/>
      <c r="AC84" s="32" t="str">
        <f t="shared" si="67"/>
        <v>-</v>
      </c>
      <c r="AD84" s="31"/>
      <c r="AE84" s="32" t="str">
        <f t="shared" si="68"/>
        <v>-</v>
      </c>
      <c r="AF84" s="31"/>
    </row>
    <row r="85" spans="1:32" ht="14.25" outlineLevel="1">
      <c r="A85" s="304" t="s">
        <v>140</v>
      </c>
      <c r="B85" s="294"/>
      <c r="C85" s="30" t="e">
        <f ca="1">'BD tratado'!D83</f>
        <v>#NAME?</v>
      </c>
      <c r="D85" s="31"/>
      <c r="E85" s="32" t="str">
        <f t="shared" si="55"/>
        <v>-</v>
      </c>
      <c r="F85" s="31"/>
      <c r="G85" s="32" t="str">
        <f t="shared" si="56"/>
        <v>-</v>
      </c>
      <c r="H85" s="31"/>
      <c r="I85" s="32" t="str">
        <f t="shared" si="57"/>
        <v>-</v>
      </c>
      <c r="J85" s="31"/>
      <c r="K85" s="32" t="str">
        <f t="shared" si="58"/>
        <v>-</v>
      </c>
      <c r="L85" s="31"/>
      <c r="M85" s="32" t="str">
        <f t="shared" si="59"/>
        <v>-</v>
      </c>
      <c r="N85" s="31"/>
      <c r="O85" s="32" t="str">
        <f t="shared" si="60"/>
        <v>-</v>
      </c>
      <c r="P85" s="31"/>
      <c r="Q85" s="32" t="str">
        <f t="shared" si="61"/>
        <v>-</v>
      </c>
      <c r="R85" s="31"/>
      <c r="S85" s="32" t="str">
        <f t="shared" si="62"/>
        <v>-</v>
      </c>
      <c r="T85" s="31"/>
      <c r="U85" s="32" t="str">
        <f t="shared" si="63"/>
        <v>-</v>
      </c>
      <c r="V85" s="31"/>
      <c r="W85" s="32" t="str">
        <f t="shared" si="64"/>
        <v>-</v>
      </c>
      <c r="X85" s="31"/>
      <c r="Y85" s="32" t="str">
        <f t="shared" si="65"/>
        <v>-</v>
      </c>
      <c r="Z85" s="31"/>
      <c r="AA85" s="32" t="str">
        <f t="shared" si="66"/>
        <v>-</v>
      </c>
      <c r="AB85" s="31"/>
      <c r="AC85" s="32" t="str">
        <f t="shared" si="67"/>
        <v>-</v>
      </c>
      <c r="AD85" s="31"/>
      <c r="AE85" s="32" t="str">
        <f t="shared" si="68"/>
        <v>-</v>
      </c>
      <c r="AF85" s="31"/>
    </row>
    <row r="86" spans="1:32" ht="14.25" outlineLevel="1">
      <c r="A86" s="304" t="s">
        <v>141</v>
      </c>
      <c r="B86" s="294"/>
      <c r="C86" s="30" t="e">
        <f ca="1">'BD tratado'!D84</f>
        <v>#NAME?</v>
      </c>
      <c r="D86" s="31"/>
      <c r="E86" s="32" t="str">
        <f t="shared" si="55"/>
        <v>-</v>
      </c>
      <c r="F86" s="31"/>
      <c r="G86" s="32" t="str">
        <f t="shared" si="56"/>
        <v>-</v>
      </c>
      <c r="H86" s="31"/>
      <c r="I86" s="32" t="str">
        <f t="shared" si="57"/>
        <v>-</v>
      </c>
      <c r="J86" s="31"/>
      <c r="K86" s="32" t="str">
        <f t="shared" si="58"/>
        <v>-</v>
      </c>
      <c r="L86" s="31"/>
      <c r="M86" s="32" t="str">
        <f t="shared" si="59"/>
        <v>-</v>
      </c>
      <c r="N86" s="31"/>
      <c r="O86" s="32" t="str">
        <f t="shared" si="60"/>
        <v>-</v>
      </c>
      <c r="P86" s="31"/>
      <c r="Q86" s="32" t="str">
        <f t="shared" si="61"/>
        <v>-</v>
      </c>
      <c r="R86" s="31"/>
      <c r="S86" s="32" t="str">
        <f t="shared" si="62"/>
        <v>-</v>
      </c>
      <c r="T86" s="31"/>
      <c r="U86" s="32" t="str">
        <f t="shared" si="63"/>
        <v>-</v>
      </c>
      <c r="V86" s="31"/>
      <c r="W86" s="32" t="str">
        <f t="shared" si="64"/>
        <v>-</v>
      </c>
      <c r="X86" s="31"/>
      <c r="Y86" s="32" t="str">
        <f t="shared" si="65"/>
        <v>-</v>
      </c>
      <c r="Z86" s="31"/>
      <c r="AA86" s="32" t="str">
        <f t="shared" si="66"/>
        <v>-</v>
      </c>
      <c r="AB86" s="31"/>
      <c r="AC86" s="32" t="str">
        <f t="shared" si="67"/>
        <v>-</v>
      </c>
      <c r="AD86" s="31"/>
      <c r="AE86" s="32" t="str">
        <f t="shared" si="68"/>
        <v>-</v>
      </c>
      <c r="AF86" s="31"/>
    </row>
    <row r="87" spans="1:32" ht="14.25" outlineLevel="1">
      <c r="A87" s="304" t="s">
        <v>142</v>
      </c>
      <c r="B87" s="294"/>
      <c r="C87" s="30" t="e">
        <f ca="1">'BD tratado'!D85</f>
        <v>#NAME?</v>
      </c>
      <c r="D87" s="31"/>
      <c r="E87" s="32" t="str">
        <f t="shared" si="55"/>
        <v>-</v>
      </c>
      <c r="F87" s="31"/>
      <c r="G87" s="32" t="str">
        <f t="shared" si="56"/>
        <v>-</v>
      </c>
      <c r="H87" s="31"/>
      <c r="I87" s="32" t="str">
        <f t="shared" si="57"/>
        <v>-</v>
      </c>
      <c r="J87" s="31"/>
      <c r="K87" s="32" t="str">
        <f t="shared" si="58"/>
        <v>-</v>
      </c>
      <c r="L87" s="31"/>
      <c r="M87" s="32" t="str">
        <f t="shared" si="59"/>
        <v>-</v>
      </c>
      <c r="N87" s="31"/>
      <c r="O87" s="32" t="str">
        <f t="shared" si="60"/>
        <v>-</v>
      </c>
      <c r="P87" s="31"/>
      <c r="Q87" s="32" t="str">
        <f t="shared" si="61"/>
        <v>-</v>
      </c>
      <c r="R87" s="31"/>
      <c r="S87" s="32" t="str">
        <f t="shared" si="62"/>
        <v>-</v>
      </c>
      <c r="T87" s="31"/>
      <c r="U87" s="32" t="str">
        <f t="shared" si="63"/>
        <v>-</v>
      </c>
      <c r="V87" s="31"/>
      <c r="W87" s="32" t="str">
        <f t="shared" si="64"/>
        <v>-</v>
      </c>
      <c r="X87" s="31"/>
      <c r="Y87" s="32" t="str">
        <f t="shared" si="65"/>
        <v>-</v>
      </c>
      <c r="Z87" s="31"/>
      <c r="AA87" s="32" t="str">
        <f t="shared" si="66"/>
        <v>-</v>
      </c>
      <c r="AB87" s="31"/>
      <c r="AC87" s="32" t="str">
        <f t="shared" si="67"/>
        <v>-</v>
      </c>
      <c r="AD87" s="31"/>
      <c r="AE87" s="32" t="str">
        <f t="shared" si="68"/>
        <v>-</v>
      </c>
      <c r="AF87" s="31"/>
    </row>
    <row r="88" spans="1:32" ht="14.25" outlineLevel="1">
      <c r="A88" s="304" t="s">
        <v>143</v>
      </c>
      <c r="B88" s="294"/>
      <c r="C88" s="30" t="e">
        <f ca="1">'BD tratado'!D86</f>
        <v>#NAME?</v>
      </c>
      <c r="D88" s="31"/>
      <c r="E88" s="32" t="str">
        <f t="shared" si="55"/>
        <v>-</v>
      </c>
      <c r="F88" s="31"/>
      <c r="G88" s="32" t="str">
        <f t="shared" si="56"/>
        <v>-</v>
      </c>
      <c r="H88" s="31"/>
      <c r="I88" s="32" t="str">
        <f t="shared" si="57"/>
        <v>-</v>
      </c>
      <c r="J88" s="31"/>
      <c r="K88" s="32" t="str">
        <f t="shared" si="58"/>
        <v>-</v>
      </c>
      <c r="L88" s="31"/>
      <c r="M88" s="32" t="str">
        <f t="shared" si="59"/>
        <v>-</v>
      </c>
      <c r="N88" s="31"/>
      <c r="O88" s="32" t="str">
        <f t="shared" si="60"/>
        <v>-</v>
      </c>
      <c r="P88" s="31"/>
      <c r="Q88" s="32" t="str">
        <f t="shared" si="61"/>
        <v>-</v>
      </c>
      <c r="R88" s="31"/>
      <c r="S88" s="32" t="str">
        <f t="shared" si="62"/>
        <v>-</v>
      </c>
      <c r="T88" s="31"/>
      <c r="U88" s="32" t="str">
        <f t="shared" si="63"/>
        <v>-</v>
      </c>
      <c r="V88" s="31"/>
      <c r="W88" s="32" t="str">
        <f t="shared" si="64"/>
        <v>-</v>
      </c>
      <c r="X88" s="31"/>
      <c r="Y88" s="32" t="str">
        <f t="shared" si="65"/>
        <v>-</v>
      </c>
      <c r="Z88" s="31"/>
      <c r="AA88" s="32" t="str">
        <f t="shared" si="66"/>
        <v>-</v>
      </c>
      <c r="AB88" s="31"/>
      <c r="AC88" s="32" t="str">
        <f t="shared" si="67"/>
        <v>-</v>
      </c>
      <c r="AD88" s="31"/>
      <c r="AE88" s="32" t="str">
        <f t="shared" si="68"/>
        <v>-</v>
      </c>
      <c r="AF88" s="31"/>
    </row>
    <row r="89" spans="1:32" ht="14.25" outlineLevel="1">
      <c r="A89" s="304" t="s">
        <v>144</v>
      </c>
      <c r="B89" s="294"/>
      <c r="C89" s="30" t="e">
        <f ca="1">'BD tratado'!D87</f>
        <v>#NAME?</v>
      </c>
      <c r="D89" s="31"/>
      <c r="E89" s="32" t="str">
        <f t="shared" si="55"/>
        <v>-</v>
      </c>
      <c r="F89" s="31"/>
      <c r="G89" s="32" t="str">
        <f t="shared" si="56"/>
        <v>-</v>
      </c>
      <c r="H89" s="31"/>
      <c r="I89" s="32" t="str">
        <f t="shared" si="57"/>
        <v>-</v>
      </c>
      <c r="J89" s="31"/>
      <c r="K89" s="32" t="str">
        <f t="shared" si="58"/>
        <v>-</v>
      </c>
      <c r="L89" s="31"/>
      <c r="M89" s="32" t="str">
        <f t="shared" si="59"/>
        <v>-</v>
      </c>
      <c r="N89" s="31"/>
      <c r="O89" s="32" t="str">
        <f t="shared" si="60"/>
        <v>-</v>
      </c>
      <c r="P89" s="31"/>
      <c r="Q89" s="32" t="str">
        <f t="shared" si="61"/>
        <v>-</v>
      </c>
      <c r="R89" s="31"/>
      <c r="S89" s="32" t="str">
        <f t="shared" si="62"/>
        <v>-</v>
      </c>
      <c r="T89" s="31"/>
      <c r="U89" s="32" t="str">
        <f t="shared" si="63"/>
        <v>-</v>
      </c>
      <c r="V89" s="31"/>
      <c r="W89" s="32" t="str">
        <f t="shared" si="64"/>
        <v>-</v>
      </c>
      <c r="X89" s="31"/>
      <c r="Y89" s="32" t="str">
        <f t="shared" si="65"/>
        <v>-</v>
      </c>
      <c r="Z89" s="31"/>
      <c r="AA89" s="32" t="str">
        <f t="shared" si="66"/>
        <v>-</v>
      </c>
      <c r="AB89" s="31"/>
      <c r="AC89" s="32" t="str">
        <f t="shared" si="67"/>
        <v>-</v>
      </c>
      <c r="AD89" s="31"/>
      <c r="AE89" s="32" t="str">
        <f t="shared" si="68"/>
        <v>-</v>
      </c>
      <c r="AF89" s="31"/>
    </row>
    <row r="90" spans="1:32" ht="14.25" outlineLevel="1">
      <c r="A90" s="304" t="s">
        <v>145</v>
      </c>
      <c r="B90" s="294"/>
      <c r="C90" s="30" t="e">
        <f ca="1">'BD tratado'!D88</f>
        <v>#NAME?</v>
      </c>
      <c r="D90" s="31"/>
      <c r="E90" s="32" t="str">
        <f t="shared" si="55"/>
        <v>-</v>
      </c>
      <c r="F90" s="31"/>
      <c r="G90" s="32" t="str">
        <f t="shared" si="56"/>
        <v>-</v>
      </c>
      <c r="H90" s="31"/>
      <c r="I90" s="32" t="str">
        <f t="shared" si="57"/>
        <v>-</v>
      </c>
      <c r="J90" s="31"/>
      <c r="K90" s="32" t="str">
        <f t="shared" si="58"/>
        <v>-</v>
      </c>
      <c r="L90" s="31"/>
      <c r="M90" s="32" t="str">
        <f t="shared" si="59"/>
        <v>-</v>
      </c>
      <c r="N90" s="31"/>
      <c r="O90" s="32" t="str">
        <f t="shared" si="60"/>
        <v>-</v>
      </c>
      <c r="P90" s="31"/>
      <c r="Q90" s="32" t="str">
        <f t="shared" si="61"/>
        <v>-</v>
      </c>
      <c r="R90" s="31"/>
      <c r="S90" s="32" t="str">
        <f t="shared" si="62"/>
        <v>-</v>
      </c>
      <c r="T90" s="31"/>
      <c r="U90" s="32" t="str">
        <f t="shared" si="63"/>
        <v>-</v>
      </c>
      <c r="V90" s="31"/>
      <c r="W90" s="32" t="str">
        <f t="shared" si="64"/>
        <v>-</v>
      </c>
      <c r="X90" s="31"/>
      <c r="Y90" s="32" t="str">
        <f t="shared" si="65"/>
        <v>-</v>
      </c>
      <c r="Z90" s="31"/>
      <c r="AA90" s="32" t="str">
        <f t="shared" si="66"/>
        <v>-</v>
      </c>
      <c r="AB90" s="31"/>
      <c r="AC90" s="32" t="str">
        <f t="shared" si="67"/>
        <v>-</v>
      </c>
      <c r="AD90" s="31"/>
      <c r="AE90" s="32" t="str">
        <f t="shared" si="68"/>
        <v>-</v>
      </c>
      <c r="AF90" s="31"/>
    </row>
    <row r="91" spans="1:32" ht="14.25" outlineLevel="1">
      <c r="A91" s="304" t="s">
        <v>146</v>
      </c>
      <c r="B91" s="294"/>
      <c r="C91" s="30" t="e">
        <f ca="1">'BD tratado'!D89</f>
        <v>#NAME?</v>
      </c>
      <c r="D91" s="33">
        <f>IF(D82,AVERAGE(D82:D90),"")</f>
        <v>5.4</v>
      </c>
      <c r="E91" s="32">
        <f t="shared" si="55"/>
        <v>16.666666666666654</v>
      </c>
      <c r="F91" s="33">
        <f>IF(F82,AVERAGE(F82:F90),"")</f>
        <v>6.3</v>
      </c>
      <c r="G91" s="32">
        <f t="shared" si="56"/>
        <v>-36.507936507936506</v>
      </c>
      <c r="H91" s="33">
        <f>IF(H82,AVERAGE(H82:H90),"")</f>
        <v>4</v>
      </c>
      <c r="I91" s="32">
        <f t="shared" si="57"/>
        <v>7.4999999999999956</v>
      </c>
      <c r="J91" s="33">
        <f>IF(J82,AVERAGE(J82:J90),"")</f>
        <v>4.3</v>
      </c>
      <c r="K91" s="32">
        <f t="shared" si="58"/>
        <v>-6.976744186046508</v>
      </c>
      <c r="L91" s="33">
        <f>IF(L82,AVERAGE(L82:L90),"")</f>
        <v>4</v>
      </c>
      <c r="M91" s="32" t="str">
        <f t="shared" si="59"/>
        <v>-</v>
      </c>
      <c r="N91" s="15" t="str">
        <f>IF(N82,AVERAGE(N82:N90),"")</f>
        <v/>
      </c>
      <c r="O91" s="32" t="str">
        <f t="shared" si="60"/>
        <v>-</v>
      </c>
      <c r="P91" s="33">
        <f>IF(P82,AVERAGE(P82:P90),"")</f>
        <v>1.8</v>
      </c>
      <c r="Q91" s="32">
        <f t="shared" si="61"/>
        <v>77.777777777777771</v>
      </c>
      <c r="R91" s="33">
        <f>IF(R82,AVERAGE(R82:R90),"")</f>
        <v>3.2</v>
      </c>
      <c r="S91" s="32" t="str">
        <f t="shared" si="62"/>
        <v>-</v>
      </c>
      <c r="T91" s="15" t="str">
        <f>IF(T82,AVERAGE(T82:T90),"")</f>
        <v/>
      </c>
      <c r="U91" s="32" t="str">
        <f t="shared" si="63"/>
        <v>-</v>
      </c>
      <c r="V91" s="33">
        <f>IF(V82,AVERAGE(V82:V90),"")</f>
        <v>2</v>
      </c>
      <c r="W91" s="32" t="str">
        <f t="shared" si="64"/>
        <v>-</v>
      </c>
      <c r="X91" s="15" t="str">
        <f>IF(X82,AVERAGE(X82:X90),"")</f>
        <v/>
      </c>
      <c r="Y91" s="32" t="str">
        <f t="shared" si="65"/>
        <v>-</v>
      </c>
      <c r="Z91" s="15" t="str">
        <f>IF(Z82,AVERAGE(Z82:Z90),"")</f>
        <v/>
      </c>
      <c r="AA91" s="32" t="str">
        <f t="shared" si="66"/>
        <v>-</v>
      </c>
      <c r="AB91" s="15" t="str">
        <f>IF(AB82,AVERAGE(AB82:AB90),"")</f>
        <v/>
      </c>
      <c r="AC91" s="32" t="str">
        <f t="shared" si="67"/>
        <v>-</v>
      </c>
      <c r="AD91" s="15" t="str">
        <f>IF(AD82,AVERAGE(AD82:AD90),"")</f>
        <v/>
      </c>
      <c r="AE91" s="32" t="str">
        <f t="shared" si="68"/>
        <v>-</v>
      </c>
      <c r="AF91" s="15" t="str">
        <f>IF(AF82,AVERAGE(AF82:AF90),"")</f>
        <v/>
      </c>
    </row>
    <row r="92" spans="1:32" ht="14.25" outlineLevel="1">
      <c r="A92" s="304" t="s">
        <v>147</v>
      </c>
      <c r="B92" s="294"/>
      <c r="C92" s="30" t="e">
        <f ca="1">'BD tratado'!D90</f>
        <v>#NAME?</v>
      </c>
      <c r="D92" s="31">
        <v>5.8</v>
      </c>
      <c r="E92" s="32">
        <f t="shared" si="55"/>
        <v>-5.1724137931034457</v>
      </c>
      <c r="F92" s="31">
        <v>5.5</v>
      </c>
      <c r="G92" s="32">
        <f t="shared" si="56"/>
        <v>-23.63636363636363</v>
      </c>
      <c r="H92" s="31">
        <v>4.2</v>
      </c>
      <c r="I92" s="32">
        <f t="shared" si="57"/>
        <v>-14.285714285714286</v>
      </c>
      <c r="J92" s="31">
        <v>3.6</v>
      </c>
      <c r="K92" s="32">
        <f t="shared" si="58"/>
        <v>0</v>
      </c>
      <c r="L92" s="31">
        <v>3.6</v>
      </c>
      <c r="M92" s="32" t="str">
        <f t="shared" si="59"/>
        <v>-</v>
      </c>
      <c r="N92" s="31"/>
      <c r="O92" s="32" t="str">
        <f t="shared" si="60"/>
        <v>-</v>
      </c>
      <c r="P92" s="31">
        <v>3.6</v>
      </c>
      <c r="Q92" s="32">
        <f t="shared" si="61"/>
        <v>8.3333333333333286</v>
      </c>
      <c r="R92" s="31">
        <v>3.9</v>
      </c>
      <c r="S92" s="32" t="str">
        <f t="shared" si="62"/>
        <v>-</v>
      </c>
      <c r="T92" s="31"/>
      <c r="U92" s="32" t="str">
        <f t="shared" si="63"/>
        <v>-</v>
      </c>
      <c r="V92" s="31">
        <v>3.6</v>
      </c>
      <c r="W92" s="32" t="str">
        <f t="shared" si="64"/>
        <v>-</v>
      </c>
      <c r="X92" s="31"/>
      <c r="Y92" s="32" t="str">
        <f t="shared" si="65"/>
        <v>-</v>
      </c>
      <c r="Z92" s="31"/>
      <c r="AA92" s="32" t="str">
        <f t="shared" si="66"/>
        <v>-</v>
      </c>
      <c r="AB92" s="31"/>
      <c r="AC92" s="32" t="str">
        <f t="shared" si="67"/>
        <v>-</v>
      </c>
      <c r="AD92" s="31"/>
      <c r="AE92" s="32" t="str">
        <f t="shared" si="68"/>
        <v>-</v>
      </c>
      <c r="AF92" s="31"/>
    </row>
    <row r="93" spans="1:32" ht="14.25" outlineLevel="1">
      <c r="A93" s="304" t="s">
        <v>148</v>
      </c>
      <c r="B93" s="294"/>
      <c r="C93" s="30" t="e">
        <f ca="1">'BD tratado'!D91</f>
        <v>#NAME?</v>
      </c>
      <c r="D93" s="31"/>
      <c r="E93" s="32" t="str">
        <f t="shared" si="55"/>
        <v>-</v>
      </c>
      <c r="F93" s="31"/>
      <c r="G93" s="32" t="str">
        <f t="shared" si="56"/>
        <v>-</v>
      </c>
      <c r="H93" s="31"/>
      <c r="I93" s="32" t="str">
        <f t="shared" si="57"/>
        <v>-</v>
      </c>
      <c r="J93" s="31"/>
      <c r="K93" s="32" t="str">
        <f t="shared" si="58"/>
        <v>-</v>
      </c>
      <c r="L93" s="31"/>
      <c r="M93" s="32" t="str">
        <f t="shared" si="59"/>
        <v>-</v>
      </c>
      <c r="N93" s="31"/>
      <c r="O93" s="32" t="str">
        <f t="shared" si="60"/>
        <v>-</v>
      </c>
      <c r="P93" s="31"/>
      <c r="Q93" s="32" t="str">
        <f t="shared" si="61"/>
        <v>-</v>
      </c>
      <c r="R93" s="31"/>
      <c r="S93" s="32" t="str">
        <f t="shared" si="62"/>
        <v>-</v>
      </c>
      <c r="T93" s="31"/>
      <c r="U93" s="32" t="str">
        <f t="shared" si="63"/>
        <v>-</v>
      </c>
      <c r="V93" s="31"/>
      <c r="W93" s="32" t="str">
        <f t="shared" si="64"/>
        <v>-</v>
      </c>
      <c r="X93" s="31"/>
      <c r="Y93" s="32" t="str">
        <f t="shared" si="65"/>
        <v>-</v>
      </c>
      <c r="Z93" s="31"/>
      <c r="AA93" s="32" t="str">
        <f t="shared" si="66"/>
        <v>-</v>
      </c>
      <c r="AB93" s="31"/>
      <c r="AC93" s="32" t="str">
        <f t="shared" si="67"/>
        <v>-</v>
      </c>
      <c r="AD93" s="31"/>
      <c r="AE93" s="32" t="str">
        <f t="shared" si="68"/>
        <v>-</v>
      </c>
      <c r="AF93" s="31"/>
    </row>
    <row r="94" spans="1:32" ht="14.25" outlineLevel="1">
      <c r="A94" s="304" t="s">
        <v>149</v>
      </c>
      <c r="B94" s="294"/>
      <c r="C94" s="30" t="e">
        <f ca="1">'BD tratado'!D92</f>
        <v>#NAME?</v>
      </c>
      <c r="D94" s="31"/>
      <c r="E94" s="32" t="str">
        <f t="shared" si="55"/>
        <v>-</v>
      </c>
      <c r="F94" s="31"/>
      <c r="G94" s="32" t="str">
        <f t="shared" si="56"/>
        <v>-</v>
      </c>
      <c r="H94" s="31"/>
      <c r="I94" s="32" t="str">
        <f t="shared" si="57"/>
        <v>-</v>
      </c>
      <c r="J94" s="31"/>
      <c r="K94" s="32" t="str">
        <f t="shared" si="58"/>
        <v>-</v>
      </c>
      <c r="L94" s="31"/>
      <c r="M94" s="32" t="str">
        <f t="shared" si="59"/>
        <v>-</v>
      </c>
      <c r="N94" s="31"/>
      <c r="O94" s="32" t="str">
        <f t="shared" si="60"/>
        <v>-</v>
      </c>
      <c r="P94" s="31"/>
      <c r="Q94" s="32" t="str">
        <f t="shared" si="61"/>
        <v>-</v>
      </c>
      <c r="R94" s="31"/>
      <c r="S94" s="32" t="str">
        <f t="shared" si="62"/>
        <v>-</v>
      </c>
      <c r="T94" s="31"/>
      <c r="U94" s="32" t="str">
        <f t="shared" si="63"/>
        <v>-</v>
      </c>
      <c r="V94" s="31"/>
      <c r="W94" s="32" t="str">
        <f t="shared" si="64"/>
        <v>-</v>
      </c>
      <c r="X94" s="31"/>
      <c r="Y94" s="32" t="str">
        <f t="shared" si="65"/>
        <v>-</v>
      </c>
      <c r="Z94" s="31"/>
      <c r="AA94" s="32" t="str">
        <f t="shared" si="66"/>
        <v>-</v>
      </c>
      <c r="AB94" s="31"/>
      <c r="AC94" s="32" t="str">
        <f t="shared" si="67"/>
        <v>-</v>
      </c>
      <c r="AD94" s="31"/>
      <c r="AE94" s="32" t="str">
        <f t="shared" si="68"/>
        <v>-</v>
      </c>
      <c r="AF94" s="31"/>
    </row>
    <row r="95" spans="1:32" ht="14.25" outlineLevel="1">
      <c r="A95" s="304" t="s">
        <v>150</v>
      </c>
      <c r="B95" s="294"/>
      <c r="C95" s="30" t="e">
        <f ca="1">'BD tratado'!D93</f>
        <v>#NAME?</v>
      </c>
      <c r="D95" s="31"/>
      <c r="E95" s="32" t="str">
        <f t="shared" si="55"/>
        <v>-</v>
      </c>
      <c r="F95" s="31"/>
      <c r="G95" s="32" t="str">
        <f t="shared" si="56"/>
        <v>-</v>
      </c>
      <c r="H95" s="31"/>
      <c r="I95" s="32" t="str">
        <f t="shared" si="57"/>
        <v>-</v>
      </c>
      <c r="J95" s="31"/>
      <c r="K95" s="32" t="str">
        <f t="shared" si="58"/>
        <v>-</v>
      </c>
      <c r="L95" s="31"/>
      <c r="M95" s="32" t="str">
        <f t="shared" si="59"/>
        <v>-</v>
      </c>
      <c r="N95" s="31"/>
      <c r="O95" s="32" t="str">
        <f t="shared" si="60"/>
        <v>-</v>
      </c>
      <c r="P95" s="31"/>
      <c r="Q95" s="32" t="str">
        <f t="shared" si="61"/>
        <v>-</v>
      </c>
      <c r="R95" s="31"/>
      <c r="S95" s="32" t="str">
        <f t="shared" si="62"/>
        <v>-</v>
      </c>
      <c r="T95" s="31"/>
      <c r="U95" s="32" t="str">
        <f t="shared" si="63"/>
        <v>-</v>
      </c>
      <c r="V95" s="31"/>
      <c r="W95" s="32" t="str">
        <f t="shared" si="64"/>
        <v>-</v>
      </c>
      <c r="X95" s="31"/>
      <c r="Y95" s="32" t="str">
        <f t="shared" si="65"/>
        <v>-</v>
      </c>
      <c r="Z95" s="31"/>
      <c r="AA95" s="32" t="str">
        <f t="shared" si="66"/>
        <v>-</v>
      </c>
      <c r="AB95" s="31"/>
      <c r="AC95" s="32" t="str">
        <f t="shared" si="67"/>
        <v>-</v>
      </c>
      <c r="AD95" s="31"/>
      <c r="AE95" s="32" t="str">
        <f t="shared" si="68"/>
        <v>-</v>
      </c>
      <c r="AF95" s="31"/>
    </row>
    <row r="96" spans="1:32" ht="14.25" outlineLevel="1">
      <c r="A96" s="304" t="s">
        <v>151</v>
      </c>
      <c r="B96" s="294"/>
      <c r="C96" s="30" t="e">
        <f ca="1">'BD tratado'!D94</f>
        <v>#NAME?</v>
      </c>
      <c r="D96" s="31"/>
      <c r="E96" s="32" t="str">
        <f t="shared" si="55"/>
        <v>-</v>
      </c>
      <c r="F96" s="31"/>
      <c r="G96" s="32" t="str">
        <f t="shared" si="56"/>
        <v>-</v>
      </c>
      <c r="H96" s="31"/>
      <c r="I96" s="32" t="str">
        <f t="shared" si="57"/>
        <v>-</v>
      </c>
      <c r="J96" s="31"/>
      <c r="K96" s="32" t="str">
        <f t="shared" si="58"/>
        <v>-</v>
      </c>
      <c r="L96" s="31"/>
      <c r="M96" s="32" t="str">
        <f t="shared" si="59"/>
        <v>-</v>
      </c>
      <c r="N96" s="31"/>
      <c r="O96" s="32" t="str">
        <f t="shared" si="60"/>
        <v>-</v>
      </c>
      <c r="P96" s="31"/>
      <c r="Q96" s="32" t="str">
        <f t="shared" si="61"/>
        <v>-</v>
      </c>
      <c r="R96" s="31"/>
      <c r="S96" s="32" t="str">
        <f t="shared" si="62"/>
        <v>-</v>
      </c>
      <c r="T96" s="31"/>
      <c r="U96" s="32" t="str">
        <f t="shared" si="63"/>
        <v>-</v>
      </c>
      <c r="V96" s="31"/>
      <c r="W96" s="32" t="str">
        <f t="shared" si="64"/>
        <v>-</v>
      </c>
      <c r="X96" s="31"/>
      <c r="Y96" s="32" t="str">
        <f t="shared" si="65"/>
        <v>-</v>
      </c>
      <c r="Z96" s="31"/>
      <c r="AA96" s="32" t="str">
        <f t="shared" si="66"/>
        <v>-</v>
      </c>
      <c r="AB96" s="31"/>
      <c r="AC96" s="32" t="str">
        <f t="shared" si="67"/>
        <v>-</v>
      </c>
      <c r="AD96" s="31"/>
      <c r="AE96" s="32" t="str">
        <f t="shared" si="68"/>
        <v>-</v>
      </c>
      <c r="AF96" s="31"/>
    </row>
    <row r="97" spans="1:32" ht="14.25" outlineLevel="1">
      <c r="A97" s="304" t="s">
        <v>152</v>
      </c>
      <c r="B97" s="294"/>
      <c r="C97" s="30" t="e">
        <f ca="1">'BD tratado'!D95</f>
        <v>#NAME?</v>
      </c>
      <c r="D97" s="31"/>
      <c r="E97" s="32" t="str">
        <f t="shared" si="55"/>
        <v>-</v>
      </c>
      <c r="F97" s="31"/>
      <c r="G97" s="32" t="str">
        <f t="shared" si="56"/>
        <v>-</v>
      </c>
      <c r="H97" s="31"/>
      <c r="I97" s="32" t="str">
        <f t="shared" si="57"/>
        <v>-</v>
      </c>
      <c r="J97" s="31"/>
      <c r="K97" s="32" t="str">
        <f t="shared" si="58"/>
        <v>-</v>
      </c>
      <c r="L97" s="31"/>
      <c r="M97" s="32" t="str">
        <f t="shared" si="59"/>
        <v>-</v>
      </c>
      <c r="N97" s="31"/>
      <c r="O97" s="32" t="str">
        <f t="shared" si="60"/>
        <v>-</v>
      </c>
      <c r="P97" s="31"/>
      <c r="Q97" s="32" t="str">
        <f t="shared" si="61"/>
        <v>-</v>
      </c>
      <c r="R97" s="31"/>
      <c r="S97" s="32" t="str">
        <f t="shared" si="62"/>
        <v>-</v>
      </c>
      <c r="T97" s="31"/>
      <c r="U97" s="32" t="str">
        <f t="shared" si="63"/>
        <v>-</v>
      </c>
      <c r="V97" s="31"/>
      <c r="W97" s="32" t="str">
        <f t="shared" si="64"/>
        <v>-</v>
      </c>
      <c r="X97" s="31"/>
      <c r="Y97" s="32" t="str">
        <f t="shared" si="65"/>
        <v>-</v>
      </c>
      <c r="Z97" s="31"/>
      <c r="AA97" s="32" t="str">
        <f t="shared" si="66"/>
        <v>-</v>
      </c>
      <c r="AB97" s="31"/>
      <c r="AC97" s="32" t="str">
        <f t="shared" si="67"/>
        <v>-</v>
      </c>
      <c r="AD97" s="31"/>
      <c r="AE97" s="32" t="str">
        <f t="shared" si="68"/>
        <v>-</v>
      </c>
      <c r="AF97" s="31"/>
    </row>
    <row r="98" spans="1:32" ht="14.25" outlineLevel="1">
      <c r="A98" s="304" t="s">
        <v>153</v>
      </c>
      <c r="B98" s="294"/>
      <c r="C98" s="30" t="e">
        <f ca="1">'BD tratado'!D96</f>
        <v>#NAME?</v>
      </c>
      <c r="D98" s="31"/>
      <c r="E98" s="32" t="str">
        <f t="shared" si="55"/>
        <v>-</v>
      </c>
      <c r="F98" s="31"/>
      <c r="G98" s="32" t="str">
        <f t="shared" si="56"/>
        <v>-</v>
      </c>
      <c r="H98" s="31"/>
      <c r="I98" s="32" t="str">
        <f t="shared" si="57"/>
        <v>-</v>
      </c>
      <c r="J98" s="31"/>
      <c r="K98" s="32" t="str">
        <f t="shared" si="58"/>
        <v>-</v>
      </c>
      <c r="L98" s="31"/>
      <c r="M98" s="32" t="str">
        <f t="shared" si="59"/>
        <v>-</v>
      </c>
      <c r="N98" s="31"/>
      <c r="O98" s="32" t="str">
        <f t="shared" si="60"/>
        <v>-</v>
      </c>
      <c r="P98" s="31"/>
      <c r="Q98" s="32" t="str">
        <f t="shared" si="61"/>
        <v>-</v>
      </c>
      <c r="R98" s="31"/>
      <c r="S98" s="32" t="str">
        <f t="shared" si="62"/>
        <v>-</v>
      </c>
      <c r="T98" s="31"/>
      <c r="U98" s="32" t="str">
        <f t="shared" si="63"/>
        <v>-</v>
      </c>
      <c r="V98" s="31"/>
      <c r="W98" s="32" t="str">
        <f t="shared" si="64"/>
        <v>-</v>
      </c>
      <c r="X98" s="31"/>
      <c r="Y98" s="32" t="str">
        <f t="shared" si="65"/>
        <v>-</v>
      </c>
      <c r="Z98" s="31"/>
      <c r="AA98" s="32" t="str">
        <f t="shared" si="66"/>
        <v>-</v>
      </c>
      <c r="AB98" s="31"/>
      <c r="AC98" s="32" t="str">
        <f t="shared" si="67"/>
        <v>-</v>
      </c>
      <c r="AD98" s="31"/>
      <c r="AE98" s="32" t="str">
        <f t="shared" si="68"/>
        <v>-</v>
      </c>
      <c r="AF98" s="31"/>
    </row>
    <row r="99" spans="1:32" ht="14.25" outlineLevel="1">
      <c r="A99" s="304" t="s">
        <v>154</v>
      </c>
      <c r="B99" s="294"/>
      <c r="C99" s="30" t="e">
        <f ca="1">'BD tratado'!D97</f>
        <v>#NAME?</v>
      </c>
      <c r="D99" s="31"/>
      <c r="E99" s="32" t="str">
        <f t="shared" si="55"/>
        <v>-</v>
      </c>
      <c r="F99" s="31"/>
      <c r="G99" s="32" t="str">
        <f t="shared" si="56"/>
        <v>-</v>
      </c>
      <c r="H99" s="31"/>
      <c r="I99" s="32" t="str">
        <f t="shared" si="57"/>
        <v>-</v>
      </c>
      <c r="J99" s="31"/>
      <c r="K99" s="32" t="str">
        <f t="shared" si="58"/>
        <v>-</v>
      </c>
      <c r="L99" s="31"/>
      <c r="M99" s="32" t="str">
        <f t="shared" si="59"/>
        <v>-</v>
      </c>
      <c r="N99" s="31"/>
      <c r="O99" s="32" t="str">
        <f t="shared" si="60"/>
        <v>-</v>
      </c>
      <c r="P99" s="31"/>
      <c r="Q99" s="32" t="str">
        <f t="shared" si="61"/>
        <v>-</v>
      </c>
      <c r="R99" s="31"/>
      <c r="S99" s="32" t="str">
        <f t="shared" si="62"/>
        <v>-</v>
      </c>
      <c r="T99" s="31"/>
      <c r="U99" s="32" t="str">
        <f t="shared" si="63"/>
        <v>-</v>
      </c>
      <c r="V99" s="31"/>
      <c r="W99" s="32" t="str">
        <f t="shared" si="64"/>
        <v>-</v>
      </c>
      <c r="X99" s="31"/>
      <c r="Y99" s="32" t="str">
        <f t="shared" si="65"/>
        <v>-</v>
      </c>
      <c r="Z99" s="31"/>
      <c r="AA99" s="32" t="str">
        <f t="shared" si="66"/>
        <v>-</v>
      </c>
      <c r="AB99" s="31"/>
      <c r="AC99" s="32" t="str">
        <f t="shared" si="67"/>
        <v>-</v>
      </c>
      <c r="AD99" s="31"/>
      <c r="AE99" s="32" t="str">
        <f t="shared" si="68"/>
        <v>-</v>
      </c>
      <c r="AF99" s="31"/>
    </row>
    <row r="100" spans="1:32" ht="14.25" outlineLevel="1">
      <c r="A100" s="304" t="s">
        <v>155</v>
      </c>
      <c r="B100" s="294"/>
      <c r="C100" s="30" t="e">
        <f ca="1">'BD tratado'!D98</f>
        <v>#NAME?</v>
      </c>
      <c r="D100" s="31"/>
      <c r="E100" s="32" t="str">
        <f t="shared" si="55"/>
        <v>-</v>
      </c>
      <c r="F100" s="31"/>
      <c r="G100" s="32" t="str">
        <f t="shared" si="56"/>
        <v>-</v>
      </c>
      <c r="H100" s="31"/>
      <c r="I100" s="32" t="str">
        <f t="shared" si="57"/>
        <v>-</v>
      </c>
      <c r="J100" s="31"/>
      <c r="K100" s="32" t="str">
        <f t="shared" si="58"/>
        <v>-</v>
      </c>
      <c r="L100" s="31"/>
      <c r="M100" s="32" t="str">
        <f t="shared" si="59"/>
        <v>-</v>
      </c>
      <c r="N100" s="31"/>
      <c r="O100" s="32" t="str">
        <f t="shared" si="60"/>
        <v>-</v>
      </c>
      <c r="P100" s="31"/>
      <c r="Q100" s="32" t="str">
        <f t="shared" si="61"/>
        <v>-</v>
      </c>
      <c r="R100" s="31"/>
      <c r="S100" s="32" t="str">
        <f t="shared" si="62"/>
        <v>-</v>
      </c>
      <c r="T100" s="31"/>
      <c r="U100" s="32" t="str">
        <f t="shared" si="63"/>
        <v>-</v>
      </c>
      <c r="V100" s="31"/>
      <c r="W100" s="32" t="str">
        <f t="shared" si="64"/>
        <v>-</v>
      </c>
      <c r="X100" s="31"/>
      <c r="Y100" s="32" t="str">
        <f t="shared" si="65"/>
        <v>-</v>
      </c>
      <c r="Z100" s="31"/>
      <c r="AA100" s="32" t="str">
        <f t="shared" si="66"/>
        <v>-</v>
      </c>
      <c r="AB100" s="31"/>
      <c r="AC100" s="32" t="str">
        <f t="shared" si="67"/>
        <v>-</v>
      </c>
      <c r="AD100" s="31"/>
      <c r="AE100" s="32" t="str">
        <f t="shared" si="68"/>
        <v>-</v>
      </c>
      <c r="AF100" s="31"/>
    </row>
    <row r="101" spans="1:32" ht="14.25" outlineLevel="1">
      <c r="A101" s="304" t="s">
        <v>156</v>
      </c>
      <c r="B101" s="294"/>
      <c r="C101" s="30" t="e">
        <f ca="1">'BD tratado'!D99</f>
        <v>#NAME?</v>
      </c>
      <c r="D101" s="33">
        <f>IF(D92,AVERAGE(D92:D100),"")</f>
        <v>5.8</v>
      </c>
      <c r="E101" s="32">
        <f t="shared" si="55"/>
        <v>-5.1724137931034457</v>
      </c>
      <c r="F101" s="33">
        <f>IF(F92,AVERAGE(F92:F100),"")</f>
        <v>5.5</v>
      </c>
      <c r="G101" s="32">
        <f t="shared" si="56"/>
        <v>-23.63636363636363</v>
      </c>
      <c r="H101" s="33">
        <f>IF(H92,AVERAGE(H92:H100),"")</f>
        <v>4.2</v>
      </c>
      <c r="I101" s="32">
        <f t="shared" si="57"/>
        <v>-14.285714285714286</v>
      </c>
      <c r="J101" s="33">
        <f>IF(J92,AVERAGE(J92:J100),"")</f>
        <v>3.6</v>
      </c>
      <c r="K101" s="32">
        <f t="shared" si="58"/>
        <v>0</v>
      </c>
      <c r="L101" s="33">
        <f>IF(L92,AVERAGE(L92:L100),"")</f>
        <v>3.6</v>
      </c>
      <c r="M101" s="32" t="str">
        <f t="shared" si="59"/>
        <v>-</v>
      </c>
      <c r="N101" s="15" t="str">
        <f>IF(N92,AVERAGE(N92:N100),"")</f>
        <v/>
      </c>
      <c r="O101" s="32" t="str">
        <f t="shared" si="60"/>
        <v>-</v>
      </c>
      <c r="P101" s="33">
        <f>IF(P92,AVERAGE(P92:P100),"")</f>
        <v>3.6</v>
      </c>
      <c r="Q101" s="32">
        <f t="shared" si="61"/>
        <v>8.3333333333333286</v>
      </c>
      <c r="R101" s="33">
        <f>IF(R92,AVERAGE(R92:R100),"")</f>
        <v>3.9</v>
      </c>
      <c r="S101" s="32" t="str">
        <f t="shared" si="62"/>
        <v>-</v>
      </c>
      <c r="T101" s="15" t="str">
        <f>IF(T92,AVERAGE(T92:T100),"")</f>
        <v/>
      </c>
      <c r="U101" s="32" t="str">
        <f t="shared" si="63"/>
        <v>-</v>
      </c>
      <c r="V101" s="33">
        <f>IF(V92,AVERAGE(V92:V100),"")</f>
        <v>3.6</v>
      </c>
      <c r="W101" s="32" t="str">
        <f t="shared" si="64"/>
        <v>-</v>
      </c>
      <c r="X101" s="15" t="str">
        <f>IF(X92,AVERAGE(X92:X100),"")</f>
        <v/>
      </c>
      <c r="Y101" s="32" t="str">
        <f t="shared" si="65"/>
        <v>-</v>
      </c>
      <c r="Z101" s="15" t="str">
        <f>IF(Z92,AVERAGE(Z92:Z100),"")</f>
        <v/>
      </c>
      <c r="AA101" s="32" t="str">
        <f t="shared" si="66"/>
        <v>-</v>
      </c>
      <c r="AB101" s="15" t="str">
        <f>IF(AB92,AVERAGE(AB92:AB100),"")</f>
        <v/>
      </c>
      <c r="AC101" s="32" t="str">
        <f t="shared" si="67"/>
        <v>-</v>
      </c>
      <c r="AD101" s="15" t="str">
        <f>IF(AD92,AVERAGE(AD92:AD100),"")</f>
        <v/>
      </c>
      <c r="AE101" s="32" t="str">
        <f t="shared" si="68"/>
        <v>-</v>
      </c>
      <c r="AF101" s="15" t="str">
        <f>IF(AF92,AVERAGE(AF92:AF100),"")</f>
        <v/>
      </c>
    </row>
    <row r="102" spans="1:32" ht="14.25">
      <c r="A102" s="303" t="s">
        <v>157</v>
      </c>
      <c r="B102" s="294"/>
      <c r="C102" s="15"/>
      <c r="D102" s="15"/>
      <c r="E102" s="32"/>
      <c r="F102" s="15"/>
      <c r="G102" s="32"/>
      <c r="H102" s="15"/>
      <c r="I102" s="32"/>
      <c r="J102" s="15"/>
      <c r="K102" s="32"/>
      <c r="L102" s="15"/>
      <c r="M102" s="32"/>
      <c r="N102" s="15"/>
      <c r="O102" s="32"/>
      <c r="P102" s="15"/>
      <c r="Q102" s="32"/>
      <c r="R102" s="15"/>
      <c r="S102" s="32"/>
      <c r="T102" s="15"/>
      <c r="U102" s="32"/>
      <c r="V102" s="15"/>
      <c r="W102" s="32"/>
      <c r="X102" s="15"/>
      <c r="Y102" s="32"/>
      <c r="Z102" s="15"/>
      <c r="AA102" s="32"/>
      <c r="AB102" s="15"/>
      <c r="AC102" s="32"/>
      <c r="AD102" s="15"/>
      <c r="AE102" s="32"/>
      <c r="AF102" s="15"/>
    </row>
    <row r="103" spans="1:32" ht="15" outlineLevel="1">
      <c r="A103" s="309" t="s">
        <v>158</v>
      </c>
      <c r="B103" s="294"/>
      <c r="C103" s="30" t="e">
        <f ca="1">'BD tratado'!D101</f>
        <v>#NAME?</v>
      </c>
      <c r="D103" s="31">
        <v>9.16</v>
      </c>
      <c r="E103" s="32">
        <f t="shared" ref="E103:E107" si="69">IF(OR(D103="",F103=""),"-",(F103-D103)*100/D103)</f>
        <v>-0.43668122270743365</v>
      </c>
      <c r="F103" s="31">
        <v>9.1199999999999992</v>
      </c>
      <c r="G103" s="32">
        <f t="shared" ref="G103:G107" si="70">IF(OR(F103="",H103=""),"-",(H103-F103)*100/F103)</f>
        <v>-2.8508771929824541</v>
      </c>
      <c r="H103" s="31">
        <v>8.86</v>
      </c>
      <c r="I103" s="32">
        <f t="shared" ref="I103:I107" si="71">IF(OR(H103="",J103=""),"-",(J103-H103)*100/H103)</f>
        <v>4.6275395033860063</v>
      </c>
      <c r="J103" s="31">
        <v>9.27</v>
      </c>
      <c r="K103" s="32">
        <f t="shared" ref="K103:K107" si="72">IF(OR(J103="",L103=""),"-",(L103-J103)*100/J103)</f>
        <v>2.9126213592232966</v>
      </c>
      <c r="L103" s="31">
        <v>9.5399999999999991</v>
      </c>
      <c r="M103" s="32">
        <f t="shared" ref="M103:M107" si="73">IF(OR(L103="",N103=""),"-",(N103-L103)*100/L103)</f>
        <v>2.0964360587002209</v>
      </c>
      <c r="N103" s="31">
        <v>9.74</v>
      </c>
      <c r="O103" s="32">
        <f t="shared" ref="O103:O107" si="74">IF(OR(N103="",P103=""),"-",(P103-N103)*100/N103)</f>
        <v>4.722792607802865</v>
      </c>
      <c r="P103" s="31">
        <v>10.199999999999999</v>
      </c>
      <c r="Q103" s="32">
        <f t="shared" ref="Q103:Q107" si="75">IF(OR(P103="",R103=""),"-",(R103-P103)*100/P103)</f>
        <v>0</v>
      </c>
      <c r="R103" s="31">
        <v>10.199999999999999</v>
      </c>
      <c r="S103" s="32">
        <f t="shared" ref="S103:S107" si="76">IF(OR(R103="",T103=""),"-",(T103-R103)*100/R103)</f>
        <v>-3.9215686274509669</v>
      </c>
      <c r="T103" s="35">
        <v>9.8000000000000007</v>
      </c>
      <c r="U103" s="32">
        <f t="shared" ref="U103:U107" si="77">IF(OR(T103="",V103=""),"-",(V103-T103)*100/T103)</f>
        <v>0</v>
      </c>
      <c r="V103" s="31">
        <v>9.8000000000000007</v>
      </c>
      <c r="W103" s="32">
        <f t="shared" ref="W103:W107" si="78">IF(OR(V103="",X103=""),"-",(X103-V103)*100/V103)</f>
        <v>1.0204081632653024</v>
      </c>
      <c r="X103" s="35">
        <v>9.9</v>
      </c>
      <c r="Y103" s="32">
        <f t="shared" ref="Y103:Y107" si="79">IF(OR(X103="",Z103=""),"-",(Z103-X103)*100/X103)</f>
        <v>1.0101010101010064</v>
      </c>
      <c r="Z103" s="31">
        <v>10</v>
      </c>
      <c r="AA103" s="32" t="str">
        <f t="shared" ref="AA103:AA107" si="80">IF(OR(Z103="",AB103=""),"-",(AB103-Z103)*100/Z103)</f>
        <v>-</v>
      </c>
      <c r="AB103" s="31"/>
      <c r="AC103" s="32" t="str">
        <f t="shared" ref="AC103:AC107" si="81">IF(OR(AB103="",AD103=""),"-",(AD103-AB103)*100/AB103)</f>
        <v>-</v>
      </c>
      <c r="AD103" s="31"/>
      <c r="AE103" s="32" t="str">
        <f t="shared" ref="AE103:AE107" si="82">IF(OR(AD103="",AF103=""),"-",(AF103-AD103)*100/AD103)</f>
        <v>-</v>
      </c>
      <c r="AF103" s="31"/>
    </row>
    <row r="104" spans="1:32" ht="15" outlineLevel="1">
      <c r="A104" s="309" t="s">
        <v>159</v>
      </c>
      <c r="B104" s="294"/>
      <c r="C104" s="30" t="e">
        <f ca="1">'BD tratado'!D102</f>
        <v>#NAME?</v>
      </c>
      <c r="D104" s="31">
        <v>9.1300000000000008</v>
      </c>
      <c r="E104" s="32">
        <f t="shared" si="69"/>
        <v>-0.98576122672509991</v>
      </c>
      <c r="F104" s="31">
        <v>9.0399999999999991</v>
      </c>
      <c r="G104" s="32">
        <f t="shared" si="70"/>
        <v>-2.7654867256637172</v>
      </c>
      <c r="H104" s="31">
        <v>8.7899999999999991</v>
      </c>
      <c r="I104" s="32">
        <f t="shared" si="71"/>
        <v>4.7781569965870503</v>
      </c>
      <c r="J104" s="31">
        <v>9.2100000000000009</v>
      </c>
      <c r="K104" s="32">
        <f t="shared" si="72"/>
        <v>3.4744842562431972</v>
      </c>
      <c r="L104" s="31">
        <v>9.5299999999999994</v>
      </c>
      <c r="M104" s="32">
        <f t="shared" si="73"/>
        <v>2.5183630640083972</v>
      </c>
      <c r="N104" s="31">
        <v>9.77</v>
      </c>
      <c r="O104" s="32">
        <f t="shared" si="74"/>
        <v>4.4012282497441122</v>
      </c>
      <c r="P104" s="31">
        <v>10.199999999999999</v>
      </c>
      <c r="Q104" s="32">
        <f t="shared" si="75"/>
        <v>0</v>
      </c>
      <c r="R104" s="31">
        <v>10.199999999999999</v>
      </c>
      <c r="S104" s="32">
        <f t="shared" si="76"/>
        <v>-3.9215686274509669</v>
      </c>
      <c r="T104" s="35">
        <v>9.8000000000000007</v>
      </c>
      <c r="U104" s="32">
        <f t="shared" si="77"/>
        <v>0</v>
      </c>
      <c r="V104" s="31">
        <v>9.8000000000000007</v>
      </c>
      <c r="W104" s="32">
        <f t="shared" si="78"/>
        <v>1.0204081632653024</v>
      </c>
      <c r="X104" s="35">
        <v>9.9</v>
      </c>
      <c r="Y104" s="32">
        <f t="shared" si="79"/>
        <v>0</v>
      </c>
      <c r="Z104" s="31">
        <v>9.9</v>
      </c>
      <c r="AA104" s="32" t="str">
        <f t="shared" si="80"/>
        <v>-</v>
      </c>
      <c r="AB104" s="31"/>
      <c r="AC104" s="32" t="str">
        <f t="shared" si="81"/>
        <v>-</v>
      </c>
      <c r="AD104" s="31"/>
      <c r="AE104" s="32" t="str">
        <f t="shared" si="82"/>
        <v>-</v>
      </c>
      <c r="AF104" s="31"/>
    </row>
    <row r="105" spans="1:32" ht="15" outlineLevel="1">
      <c r="A105" s="309" t="s">
        <v>160</v>
      </c>
      <c r="B105" s="294"/>
      <c r="C105" s="30" t="e">
        <f ca="1">'BD tratado'!D103</f>
        <v>#NAME?</v>
      </c>
      <c r="D105" s="31">
        <v>2.88</v>
      </c>
      <c r="E105" s="32">
        <f t="shared" si="69"/>
        <v>-1.7361111111111049</v>
      </c>
      <c r="F105" s="31">
        <v>2.83</v>
      </c>
      <c r="G105" s="32">
        <f t="shared" si="70"/>
        <v>-1.7667844522968292</v>
      </c>
      <c r="H105" s="31">
        <v>2.78</v>
      </c>
      <c r="I105" s="32">
        <f t="shared" si="71"/>
        <v>11.870503597122305</v>
      </c>
      <c r="J105" s="31">
        <v>3.11</v>
      </c>
      <c r="K105" s="32">
        <f t="shared" si="72"/>
        <v>-1.6077170418006375</v>
      </c>
      <c r="L105" s="31">
        <v>3.06</v>
      </c>
      <c r="M105" s="32">
        <f t="shared" si="73"/>
        <v>-2.6143790849673225</v>
      </c>
      <c r="N105" s="31">
        <v>2.98</v>
      </c>
      <c r="O105" s="32">
        <f t="shared" si="74"/>
        <v>7.3825503355704774</v>
      </c>
      <c r="P105" s="31">
        <v>3.2</v>
      </c>
      <c r="Q105" s="32">
        <f t="shared" si="75"/>
        <v>0</v>
      </c>
      <c r="R105" s="31">
        <v>3.2</v>
      </c>
      <c r="S105" s="32">
        <f t="shared" si="76"/>
        <v>-3.1250000000000027</v>
      </c>
      <c r="T105" s="35">
        <v>3.1</v>
      </c>
      <c r="U105" s="32">
        <f t="shared" si="77"/>
        <v>0</v>
      </c>
      <c r="V105" s="31">
        <v>3.1</v>
      </c>
      <c r="W105" s="32">
        <f t="shared" si="78"/>
        <v>0</v>
      </c>
      <c r="X105" s="35">
        <v>3.1</v>
      </c>
      <c r="Y105" s="32">
        <f t="shared" si="79"/>
        <v>-3.2258064516129061</v>
      </c>
      <c r="Z105" s="31">
        <v>3</v>
      </c>
      <c r="AA105" s="32" t="str">
        <f t="shared" si="80"/>
        <v>-</v>
      </c>
      <c r="AB105" s="31"/>
      <c r="AC105" s="32" t="str">
        <f t="shared" si="81"/>
        <v>-</v>
      </c>
      <c r="AD105" s="31"/>
      <c r="AE105" s="32" t="str">
        <f t="shared" si="82"/>
        <v>-</v>
      </c>
      <c r="AF105" s="31"/>
    </row>
    <row r="106" spans="1:32" ht="15" outlineLevel="1">
      <c r="A106" s="309" t="s">
        <v>161</v>
      </c>
      <c r="B106" s="294"/>
      <c r="C106" s="30" t="e">
        <f ca="1">'BD tratado'!D104</f>
        <v>#NAME?</v>
      </c>
      <c r="D106" s="31">
        <v>2.76</v>
      </c>
      <c r="E106" s="32">
        <f t="shared" si="69"/>
        <v>1.0869565217391395</v>
      </c>
      <c r="F106" s="31">
        <v>2.79</v>
      </c>
      <c r="G106" s="32">
        <f t="shared" si="70"/>
        <v>-1.4336917562724028</v>
      </c>
      <c r="H106" s="31">
        <v>2.75</v>
      </c>
      <c r="I106" s="32">
        <f t="shared" si="71"/>
        <v>8.3636363636363633</v>
      </c>
      <c r="J106" s="31">
        <v>2.98</v>
      </c>
      <c r="K106" s="32">
        <f t="shared" si="72"/>
        <v>0</v>
      </c>
      <c r="L106" s="31">
        <v>2.98</v>
      </c>
      <c r="M106" s="32">
        <f t="shared" si="73"/>
        <v>-0.33557046979865057</v>
      </c>
      <c r="N106" s="31">
        <v>2.97</v>
      </c>
      <c r="O106" s="32">
        <f t="shared" si="74"/>
        <v>7.7441077441077439</v>
      </c>
      <c r="P106" s="31">
        <v>3.2</v>
      </c>
      <c r="Q106" s="32">
        <f t="shared" si="75"/>
        <v>0</v>
      </c>
      <c r="R106" s="31">
        <v>3.2</v>
      </c>
      <c r="S106" s="32">
        <f t="shared" si="76"/>
        <v>-3.1250000000000027</v>
      </c>
      <c r="T106" s="35">
        <v>3.1</v>
      </c>
      <c r="U106" s="32">
        <f t="shared" si="77"/>
        <v>0</v>
      </c>
      <c r="V106" s="31">
        <v>3.1</v>
      </c>
      <c r="W106" s="32">
        <f t="shared" si="78"/>
        <v>0</v>
      </c>
      <c r="X106" s="35">
        <v>3.1</v>
      </c>
      <c r="Y106" s="32">
        <f t="shared" si="79"/>
        <v>-3.2258064516129061</v>
      </c>
      <c r="Z106" s="31">
        <v>3</v>
      </c>
      <c r="AA106" s="32" t="str">
        <f t="shared" si="80"/>
        <v>-</v>
      </c>
      <c r="AB106" s="31"/>
      <c r="AC106" s="32" t="str">
        <f t="shared" si="81"/>
        <v>-</v>
      </c>
      <c r="AD106" s="31"/>
      <c r="AE106" s="32" t="str">
        <f t="shared" si="82"/>
        <v>-</v>
      </c>
      <c r="AF106" s="31"/>
    </row>
    <row r="107" spans="1:32" ht="15" outlineLevel="1">
      <c r="A107" s="309" t="s">
        <v>162</v>
      </c>
      <c r="B107" s="294"/>
      <c r="C107" s="30" t="e">
        <f ca="1">'BD tratado'!D105</f>
        <v>#NAME?</v>
      </c>
      <c r="D107" s="31">
        <v>23.9</v>
      </c>
      <c r="E107" s="32">
        <f t="shared" si="69"/>
        <v>-1.6736401673640109</v>
      </c>
      <c r="F107" s="31">
        <v>23.5</v>
      </c>
      <c r="G107" s="32">
        <f t="shared" si="70"/>
        <v>-1.7021276595744621</v>
      </c>
      <c r="H107" s="31">
        <v>23.1</v>
      </c>
      <c r="I107" s="32">
        <f t="shared" si="71"/>
        <v>6.9264069264069166</v>
      </c>
      <c r="J107" s="31">
        <v>24.7</v>
      </c>
      <c r="K107" s="32">
        <f t="shared" si="72"/>
        <v>-0.40485829959513309</v>
      </c>
      <c r="L107" s="31">
        <v>24.6</v>
      </c>
      <c r="M107" s="32">
        <f t="shared" si="73"/>
        <v>-1.2195121951219541</v>
      </c>
      <c r="N107" s="31">
        <v>24.3</v>
      </c>
      <c r="O107" s="32">
        <f t="shared" si="74"/>
        <v>31.275720164609044</v>
      </c>
      <c r="P107" s="31">
        <v>31.9</v>
      </c>
      <c r="Q107" s="32">
        <f t="shared" si="75"/>
        <v>0</v>
      </c>
      <c r="R107" s="31">
        <v>31.9</v>
      </c>
      <c r="S107" s="32">
        <f t="shared" si="76"/>
        <v>-0.62695924764890065</v>
      </c>
      <c r="T107" s="35">
        <v>31.7</v>
      </c>
      <c r="U107" s="32">
        <f t="shared" si="77"/>
        <v>0.63091482649842046</v>
      </c>
      <c r="V107" s="31">
        <v>31.9</v>
      </c>
      <c r="W107" s="32">
        <f t="shared" si="78"/>
        <v>0</v>
      </c>
      <c r="X107" s="35">
        <v>31.9</v>
      </c>
      <c r="Y107" s="32">
        <f t="shared" si="79"/>
        <v>-2.1943573667711576</v>
      </c>
      <c r="Z107" s="31">
        <v>31.2</v>
      </c>
      <c r="AA107" s="32" t="str">
        <f t="shared" si="80"/>
        <v>-</v>
      </c>
      <c r="AB107" s="31"/>
      <c r="AC107" s="32" t="str">
        <f t="shared" si="81"/>
        <v>-</v>
      </c>
      <c r="AD107" s="31"/>
      <c r="AE107" s="32" t="str">
        <f t="shared" si="82"/>
        <v>-</v>
      </c>
      <c r="AF107" s="31"/>
    </row>
    <row r="108" spans="1:32" ht="15" outlineLevel="1">
      <c r="A108" s="310"/>
      <c r="B108" s="294"/>
      <c r="C108" s="15"/>
      <c r="D108" s="15"/>
      <c r="E108" s="32"/>
      <c r="F108" s="15"/>
      <c r="G108" s="32"/>
      <c r="H108" s="15"/>
      <c r="I108" s="32"/>
      <c r="J108" s="15"/>
      <c r="K108" s="32"/>
      <c r="L108" s="15"/>
      <c r="M108" s="32"/>
      <c r="N108" s="15"/>
      <c r="O108" s="32"/>
      <c r="P108" s="15"/>
      <c r="Q108" s="32"/>
      <c r="R108" s="15"/>
      <c r="S108" s="32"/>
      <c r="T108" s="30"/>
      <c r="U108" s="32"/>
      <c r="V108" s="15"/>
      <c r="W108" s="32"/>
      <c r="X108" s="30"/>
      <c r="Y108" s="32"/>
      <c r="Z108" s="15"/>
      <c r="AA108" s="32"/>
      <c r="AB108" s="15"/>
      <c r="AC108" s="32"/>
      <c r="AD108" s="15"/>
      <c r="AE108" s="32"/>
      <c r="AF108" s="15"/>
    </row>
    <row r="109" spans="1:32" ht="15" outlineLevel="1">
      <c r="A109" s="309" t="s">
        <v>163</v>
      </c>
      <c r="B109" s="294"/>
      <c r="C109" s="30" t="e">
        <f ca="1">'BD tratado'!D107</f>
        <v>#NAME?</v>
      </c>
      <c r="D109" s="31">
        <v>3.3</v>
      </c>
      <c r="E109" s="32">
        <f t="shared" ref="E109:E113" si="83">IF(OR(D109="",F109=""),"-",(F109-D109)*100/D109)</f>
        <v>-39.393939393939391</v>
      </c>
      <c r="F109" s="31">
        <v>2</v>
      </c>
      <c r="G109" s="32">
        <f t="shared" ref="G109:G113" si="84">IF(OR(F109="",H109=""),"-",(H109-F109)*100/F109)</f>
        <v>-30.000000000000004</v>
      </c>
      <c r="H109" s="31">
        <v>1.4</v>
      </c>
      <c r="I109" s="32">
        <f t="shared" ref="I109:I113" si="85">IF(OR(H109="",J109=""),"-",(J109-H109)*100/H109)</f>
        <v>-21.428571428571416</v>
      </c>
      <c r="J109" s="31">
        <v>1.1000000000000001</v>
      </c>
      <c r="K109" s="32">
        <f t="shared" ref="K109:K113" si="86">IF(OR(J109="",L109=""),"-",(L109-J109)*100/J109)</f>
        <v>36.363636363636353</v>
      </c>
      <c r="L109" s="31">
        <v>1.5</v>
      </c>
      <c r="M109" s="32">
        <f t="shared" ref="M109:M113" si="87">IF(OR(L109="",N109=""),"-",(N109-L109)*100/L109)</f>
        <v>-13.33333333333333</v>
      </c>
      <c r="N109" s="31">
        <v>1.3</v>
      </c>
      <c r="O109" s="32">
        <f t="shared" ref="O109:O113" si="88">IF(OR(N109="",P109=""),"-",(P109-N109)*100/N109)</f>
        <v>-11.538461538461549</v>
      </c>
      <c r="P109" s="31">
        <v>1.1499999999999999</v>
      </c>
      <c r="Q109" s="32">
        <f t="shared" ref="Q109:Q113" si="89">IF(OR(P109="",R109=""),"-",(R109-P109)*100/P109)</f>
        <v>0</v>
      </c>
      <c r="R109" s="31">
        <v>1.1499999999999999</v>
      </c>
      <c r="S109" s="32">
        <f t="shared" ref="S109:S113" si="90">IF(OR(R109="",T109=""),"-",(T109-R109)*100/R109)</f>
        <v>30.434782608695659</v>
      </c>
      <c r="T109" s="35">
        <v>1.5</v>
      </c>
      <c r="U109" s="32">
        <f t="shared" ref="U109:U113" si="91">IF(OR(T109="",V109=""),"-",(V109-T109)*100/T109)</f>
        <v>0</v>
      </c>
      <c r="V109" s="35">
        <v>1.5</v>
      </c>
      <c r="W109" s="32">
        <f t="shared" ref="W109:W113" si="92">IF(OR(V109="",X109=""),"-",(X109-V109)*100/V109)</f>
        <v>-13.33333333333333</v>
      </c>
      <c r="X109" s="35">
        <v>1.3</v>
      </c>
      <c r="Y109" s="32">
        <f t="shared" ref="Y109:Y113" si="93">IF(OR(X109="",Z109=""),"-",(Z109-X109)*100/X109)</f>
        <v>15.384615384615381</v>
      </c>
      <c r="Z109" s="31">
        <v>1.5</v>
      </c>
      <c r="AA109" s="32" t="str">
        <f t="shared" ref="AA109:AA113" si="94">IF(OR(Z109="",AB109=""),"-",(AB109-Z109)*100/Z109)</f>
        <v>-</v>
      </c>
      <c r="AB109" s="31"/>
      <c r="AC109" s="32" t="str">
        <f t="shared" ref="AC109:AC113" si="95">IF(OR(AB109="",AD109=""),"-",(AD109-AB109)*100/AB109)</f>
        <v>-</v>
      </c>
      <c r="AD109" s="31"/>
      <c r="AE109" s="32" t="str">
        <f t="shared" ref="AE109:AE113" si="96">IF(OR(AD109="",AF109=""),"-",(AF109-AD109)*100/AD109)</f>
        <v>-</v>
      </c>
      <c r="AF109" s="31"/>
    </row>
    <row r="110" spans="1:32" ht="15" outlineLevel="1">
      <c r="A110" s="309" t="s">
        <v>164</v>
      </c>
      <c r="B110" s="294"/>
      <c r="C110" s="30" t="e">
        <f ca="1">'BD tratado'!D108</f>
        <v>#NAME?</v>
      </c>
      <c r="D110" s="31">
        <v>3.3</v>
      </c>
      <c r="E110" s="32">
        <f t="shared" si="83"/>
        <v>-39.393939393939391</v>
      </c>
      <c r="F110" s="31">
        <v>2</v>
      </c>
      <c r="G110" s="32">
        <f t="shared" si="84"/>
        <v>-30.000000000000004</v>
      </c>
      <c r="H110" s="31">
        <v>1.4</v>
      </c>
      <c r="I110" s="32">
        <f t="shared" si="85"/>
        <v>-21.428571428571416</v>
      </c>
      <c r="J110" s="31">
        <v>1.1000000000000001</v>
      </c>
      <c r="K110" s="32">
        <f t="shared" si="86"/>
        <v>36.363636363636353</v>
      </c>
      <c r="L110" s="31">
        <v>1.5</v>
      </c>
      <c r="M110" s="32">
        <f t="shared" si="87"/>
        <v>-13.33333333333333</v>
      </c>
      <c r="N110" s="31">
        <v>1.3</v>
      </c>
      <c r="O110" s="32">
        <f t="shared" si="88"/>
        <v>-19.23076923076923</v>
      </c>
      <c r="P110" s="31">
        <v>1.05</v>
      </c>
      <c r="Q110" s="32">
        <f t="shared" si="89"/>
        <v>0</v>
      </c>
      <c r="R110" s="31">
        <v>1.05</v>
      </c>
      <c r="S110" s="32">
        <f t="shared" si="90"/>
        <v>42.857142857142847</v>
      </c>
      <c r="T110" s="35">
        <v>1.5</v>
      </c>
      <c r="U110" s="32">
        <f t="shared" si="91"/>
        <v>0</v>
      </c>
      <c r="V110" s="35">
        <v>1.5</v>
      </c>
      <c r="W110" s="32">
        <f t="shared" si="92"/>
        <v>-6.6666666666666723</v>
      </c>
      <c r="X110" s="35">
        <v>1.4</v>
      </c>
      <c r="Y110" s="32">
        <f t="shared" si="93"/>
        <v>10.714285714285726</v>
      </c>
      <c r="Z110" s="31">
        <v>1.55</v>
      </c>
      <c r="AA110" s="32" t="str">
        <f t="shared" si="94"/>
        <v>-</v>
      </c>
      <c r="AB110" s="31"/>
      <c r="AC110" s="32" t="str">
        <f t="shared" si="95"/>
        <v>-</v>
      </c>
      <c r="AD110" s="31"/>
      <c r="AE110" s="32" t="str">
        <f t="shared" si="96"/>
        <v>-</v>
      </c>
      <c r="AF110" s="31"/>
    </row>
    <row r="111" spans="1:32" ht="15" outlineLevel="1">
      <c r="A111" s="309" t="s">
        <v>165</v>
      </c>
      <c r="B111" s="294"/>
      <c r="C111" s="30" t="e">
        <f ca="1">'BD tratado'!D109</f>
        <v>#NAME?</v>
      </c>
      <c r="D111" s="31">
        <v>1.3</v>
      </c>
      <c r="E111" s="32">
        <f t="shared" si="83"/>
        <v>-53.846153846153847</v>
      </c>
      <c r="F111" s="31">
        <v>0.6</v>
      </c>
      <c r="G111" s="32">
        <f t="shared" si="84"/>
        <v>-33.333333333333329</v>
      </c>
      <c r="H111" s="31">
        <v>0.4</v>
      </c>
      <c r="I111" s="32">
        <f t="shared" si="85"/>
        <v>-50</v>
      </c>
      <c r="J111" s="31">
        <v>0.2</v>
      </c>
      <c r="K111" s="32">
        <f t="shared" si="86"/>
        <v>100</v>
      </c>
      <c r="L111" s="31">
        <v>0.4</v>
      </c>
      <c r="M111" s="32">
        <f t="shared" si="87"/>
        <v>-25.000000000000007</v>
      </c>
      <c r="N111" s="31">
        <v>0.3</v>
      </c>
      <c r="O111" s="32">
        <f t="shared" si="88"/>
        <v>0</v>
      </c>
      <c r="P111" s="31">
        <v>0.3</v>
      </c>
      <c r="Q111" s="32">
        <f t="shared" si="89"/>
        <v>16.666666666666664</v>
      </c>
      <c r="R111" s="31">
        <v>0.35</v>
      </c>
      <c r="S111" s="32">
        <f t="shared" si="90"/>
        <v>85.714285714285737</v>
      </c>
      <c r="T111" s="35">
        <v>0.65</v>
      </c>
      <c r="U111" s="32">
        <f t="shared" si="91"/>
        <v>0</v>
      </c>
      <c r="V111" s="35">
        <v>0.65</v>
      </c>
      <c r="W111" s="32">
        <f t="shared" si="92"/>
        <v>-7.6923076923076987</v>
      </c>
      <c r="X111" s="35">
        <v>0.6</v>
      </c>
      <c r="Y111" s="32">
        <f t="shared" si="93"/>
        <v>16.666666666666664</v>
      </c>
      <c r="Z111" s="31">
        <v>0.7</v>
      </c>
      <c r="AA111" s="32" t="str">
        <f t="shared" si="94"/>
        <v>-</v>
      </c>
      <c r="AB111" s="31"/>
      <c r="AC111" s="32" t="str">
        <f t="shared" si="95"/>
        <v>-</v>
      </c>
      <c r="AD111" s="31"/>
      <c r="AE111" s="32" t="str">
        <f t="shared" si="96"/>
        <v>-</v>
      </c>
      <c r="AF111" s="31"/>
    </row>
    <row r="112" spans="1:32" ht="15" outlineLevel="1">
      <c r="A112" s="309" t="s">
        <v>166</v>
      </c>
      <c r="B112" s="294"/>
      <c r="C112" s="30" t="e">
        <f ca="1">'BD tratado'!D110</f>
        <v>#NAME?</v>
      </c>
      <c r="D112" s="31">
        <v>1.3</v>
      </c>
      <c r="E112" s="32">
        <f t="shared" si="83"/>
        <v>-53.846153846153847</v>
      </c>
      <c r="F112" s="31">
        <v>0.6</v>
      </c>
      <c r="G112" s="32">
        <f t="shared" si="84"/>
        <v>-33.333333333333329</v>
      </c>
      <c r="H112" s="31">
        <v>0.4</v>
      </c>
      <c r="I112" s="32">
        <f t="shared" si="85"/>
        <v>-25.000000000000007</v>
      </c>
      <c r="J112" s="31">
        <v>0.3</v>
      </c>
      <c r="K112" s="32">
        <f t="shared" si="86"/>
        <v>33.33333333333335</v>
      </c>
      <c r="L112" s="31">
        <v>0.4</v>
      </c>
      <c r="M112" s="32">
        <f t="shared" si="87"/>
        <v>-25.000000000000007</v>
      </c>
      <c r="N112" s="31">
        <v>0.3</v>
      </c>
      <c r="O112" s="32">
        <f t="shared" si="88"/>
        <v>0</v>
      </c>
      <c r="P112" s="31">
        <v>0.3</v>
      </c>
      <c r="Q112" s="32">
        <f t="shared" si="89"/>
        <v>33.33333333333335</v>
      </c>
      <c r="R112" s="31">
        <v>0.4</v>
      </c>
      <c r="S112" s="32">
        <f t="shared" si="90"/>
        <v>62.5</v>
      </c>
      <c r="T112" s="35">
        <v>0.65</v>
      </c>
      <c r="U112" s="32">
        <f t="shared" si="91"/>
        <v>0</v>
      </c>
      <c r="V112" s="35">
        <v>0.65</v>
      </c>
      <c r="W112" s="32">
        <f t="shared" si="92"/>
        <v>0</v>
      </c>
      <c r="X112" s="35">
        <v>0.65</v>
      </c>
      <c r="Y112" s="32">
        <f t="shared" si="93"/>
        <v>15.384615384615381</v>
      </c>
      <c r="Z112" s="31">
        <v>0.75</v>
      </c>
      <c r="AA112" s="32" t="str">
        <f t="shared" si="94"/>
        <v>-</v>
      </c>
      <c r="AB112" s="31"/>
      <c r="AC112" s="32" t="str">
        <f t="shared" si="95"/>
        <v>-</v>
      </c>
      <c r="AD112" s="31"/>
      <c r="AE112" s="32" t="str">
        <f t="shared" si="96"/>
        <v>-</v>
      </c>
      <c r="AF112" s="31"/>
    </row>
    <row r="113" spans="1:32" ht="15" outlineLevel="1">
      <c r="A113" s="309" t="s">
        <v>167</v>
      </c>
      <c r="B113" s="294"/>
      <c r="C113" s="30" t="e">
        <f ca="1">'BD tratado'!D111</f>
        <v>#NAME?</v>
      </c>
      <c r="D113" s="31">
        <v>10.5</v>
      </c>
      <c r="E113" s="32">
        <f t="shared" si="83"/>
        <v>-44.761904761904759</v>
      </c>
      <c r="F113" s="31">
        <v>5.8</v>
      </c>
      <c r="G113" s="32">
        <f t="shared" si="84"/>
        <v>-41.379310344827587</v>
      </c>
      <c r="H113" s="31">
        <v>3.4</v>
      </c>
      <c r="I113" s="32">
        <f t="shared" si="85"/>
        <v>-29.411764705882355</v>
      </c>
      <c r="J113" s="31">
        <v>2.4</v>
      </c>
      <c r="K113" s="32">
        <f t="shared" si="86"/>
        <v>62.5</v>
      </c>
      <c r="L113" s="31">
        <v>3.9</v>
      </c>
      <c r="M113" s="32">
        <f t="shared" si="87"/>
        <v>-17.948717948717942</v>
      </c>
      <c r="N113" s="31">
        <v>3.2</v>
      </c>
      <c r="O113" s="32">
        <f t="shared" si="88"/>
        <v>0</v>
      </c>
      <c r="P113" s="31">
        <v>3.2</v>
      </c>
      <c r="Q113" s="32">
        <f t="shared" si="89"/>
        <v>85.9375</v>
      </c>
      <c r="R113" s="31">
        <v>5.95</v>
      </c>
      <c r="S113" s="32">
        <f t="shared" si="90"/>
        <v>22.689075630252095</v>
      </c>
      <c r="T113" s="35">
        <v>7.3</v>
      </c>
      <c r="U113" s="32">
        <f t="shared" si="91"/>
        <v>-1.3698630136986254</v>
      </c>
      <c r="V113" s="35">
        <v>7.2</v>
      </c>
      <c r="W113" s="32">
        <f t="shared" si="92"/>
        <v>-3.4722222222222223</v>
      </c>
      <c r="X113" s="35">
        <v>6.95</v>
      </c>
      <c r="Y113" s="32">
        <f t="shared" si="93"/>
        <v>23.741007194244595</v>
      </c>
      <c r="Z113" s="31">
        <v>8.6</v>
      </c>
      <c r="AA113" s="32" t="str">
        <f t="shared" si="94"/>
        <v>-</v>
      </c>
      <c r="AB113" s="31"/>
      <c r="AC113" s="32" t="str">
        <f t="shared" si="95"/>
        <v>-</v>
      </c>
      <c r="AD113" s="31"/>
      <c r="AE113" s="32" t="str">
        <f t="shared" si="96"/>
        <v>-</v>
      </c>
      <c r="AF113" s="31"/>
    </row>
    <row r="114" spans="1:32" ht="14.25">
      <c r="A114" s="303" t="s">
        <v>168</v>
      </c>
      <c r="B114" s="294"/>
      <c r="C114" s="15"/>
      <c r="D114" s="15"/>
      <c r="E114" s="32"/>
      <c r="F114" s="15"/>
      <c r="G114" s="32"/>
      <c r="H114" s="15"/>
      <c r="I114" s="32"/>
      <c r="J114" s="15"/>
      <c r="K114" s="32"/>
      <c r="L114" s="15"/>
      <c r="M114" s="32"/>
      <c r="N114" s="15"/>
      <c r="O114" s="32"/>
      <c r="P114" s="15"/>
      <c r="Q114" s="32"/>
      <c r="R114" s="15"/>
      <c r="S114" s="32"/>
      <c r="T114" s="15"/>
      <c r="U114" s="32"/>
      <c r="V114" s="15"/>
      <c r="W114" s="32"/>
      <c r="X114" s="15"/>
      <c r="Y114" s="32"/>
      <c r="Z114" s="15"/>
      <c r="AA114" s="32"/>
      <c r="AB114" s="15"/>
      <c r="AC114" s="32"/>
      <c r="AD114" s="15"/>
      <c r="AE114" s="32"/>
      <c r="AF114" s="15"/>
    </row>
    <row r="115" spans="1:32" ht="14.25" outlineLevel="1">
      <c r="A115" s="304" t="s">
        <v>169</v>
      </c>
      <c r="B115" s="294"/>
      <c r="C115" s="30" t="e">
        <f ca="1">'BD tratado'!D113</f>
        <v>#NAME?</v>
      </c>
      <c r="D115" s="33">
        <f>D16</f>
        <v>88.5</v>
      </c>
      <c r="E115" s="32">
        <f t="shared" ref="E115:E116" si="97">IF(OR(D115="",F115=""),"-",(F115-D115)*100/D115)</f>
        <v>-19.209039548022599</v>
      </c>
      <c r="F115" s="33">
        <f>F16</f>
        <v>71.5</v>
      </c>
      <c r="G115" s="32">
        <f t="shared" ref="G115:G116" si="98">IF(OR(F115="",H115=""),"-",(H115-F115)*100/F115)</f>
        <v>2.7972027972027971</v>
      </c>
      <c r="H115" s="33">
        <f>H16</f>
        <v>73.5</v>
      </c>
      <c r="I115" s="32">
        <f t="shared" ref="I115:I116" si="99">IF(OR(H115="",J115=""),"-",(J115-H115)*100/H115)</f>
        <v>1.3605442176870748</v>
      </c>
      <c r="J115" s="33">
        <f>J16</f>
        <v>74.5</v>
      </c>
      <c r="K115" s="32">
        <f t="shared" ref="K115:K116" si="100">IF(OR(J115="",L115=""),"-",(L115-J115)*100/J115)</f>
        <v>4.026845637583893</v>
      </c>
      <c r="L115" s="33">
        <f>L16</f>
        <v>77.5</v>
      </c>
      <c r="M115" s="32">
        <f t="shared" ref="M115:M116" si="101">IF(OR(L115="",N115=""),"-",(N115-L115)*100/L115)</f>
        <v>-1.935483870967742</v>
      </c>
      <c r="N115" s="33">
        <f>N16</f>
        <v>76</v>
      </c>
      <c r="O115" s="32">
        <f t="shared" ref="O115:O116" si="102">IF(OR(N115="",P115=""),"-",(P115-N115)*100/N115)</f>
        <v>1.3157894736842106</v>
      </c>
      <c r="P115" s="33">
        <f>P16</f>
        <v>77</v>
      </c>
      <c r="Q115" s="32">
        <f t="shared" ref="Q115:Q116" si="103">IF(OR(P115="",R115=""),"-",(R115-P115)*100/P115)</f>
        <v>2.5974025974025974</v>
      </c>
      <c r="R115" s="33">
        <f>R16</f>
        <v>79</v>
      </c>
      <c r="S115" s="32">
        <f t="shared" ref="S115:S116" si="104">IF(OR(R115="",T115=""),"-",(T115-R115)*100/R115)</f>
        <v>-1.8987341772151898</v>
      </c>
      <c r="T115" s="33">
        <f>T16</f>
        <v>77.5</v>
      </c>
      <c r="U115" s="32">
        <f t="shared" ref="U115:U116" si="105">IF(OR(T115="",V115=""),"-",(V115-T115)*100/T115)</f>
        <v>0.64516129032258063</v>
      </c>
      <c r="V115" s="33">
        <f>V16</f>
        <v>78</v>
      </c>
      <c r="W115" s="32">
        <f t="shared" ref="W115:W116" si="106">IF(OR(V115="",X115=""),"-",(X115-V115)*100/V115)</f>
        <v>-2.5641025641025643</v>
      </c>
      <c r="X115" s="33">
        <f>X16</f>
        <v>76</v>
      </c>
      <c r="Y115" s="32">
        <f t="shared" ref="Y115:Y116" si="107">IF(OR(X115="",Z115=""),"-",(Z115-X115)*100/X115)</f>
        <v>2.6315789473684212</v>
      </c>
      <c r="Z115" s="33">
        <f>Z16</f>
        <v>78</v>
      </c>
      <c r="AA115" s="32">
        <f t="shared" ref="AA115:AA116" si="108">IF(OR(Z115="",AB115=""),"-",(AB115-Z115)*100/Z115)</f>
        <v>-100</v>
      </c>
      <c r="AB115" s="33">
        <f>AB16</f>
        <v>0</v>
      </c>
      <c r="AC115" s="32" t="e">
        <f t="shared" ref="AC115:AC116" si="109">IF(OR(AB115="",AD115=""),"-",(AD115-AB115)*100/AB115)</f>
        <v>#DIV/0!</v>
      </c>
      <c r="AD115" s="33">
        <f>AD16</f>
        <v>0</v>
      </c>
      <c r="AE115" s="32" t="e">
        <f t="shared" ref="AE115:AE116" si="110">IF(OR(AD115="",AF115=""),"-",(AF115-AD115)*100/AD115)</f>
        <v>#DIV/0!</v>
      </c>
      <c r="AF115" s="33">
        <f>AF16</f>
        <v>0</v>
      </c>
    </row>
    <row r="116" spans="1:32" ht="14.25" outlineLevel="1">
      <c r="A116" s="304" t="s">
        <v>170</v>
      </c>
      <c r="B116" s="294"/>
      <c r="C116" s="30" t="e">
        <f ca="1">'BD tratado'!D114</f>
        <v>#NAME?</v>
      </c>
      <c r="D116" s="30">
        <f>IF(D17,D115/D17,"")</f>
        <v>0.94148936170212771</v>
      </c>
      <c r="E116" s="32">
        <f t="shared" si="97"/>
        <v>-13.700564971751417</v>
      </c>
      <c r="F116" s="30">
        <f>IF(F17,F115/F17,"")</f>
        <v>0.8125</v>
      </c>
      <c r="G116" s="32">
        <f t="shared" si="98"/>
        <v>6.4253393665158418</v>
      </c>
      <c r="H116" s="30">
        <f>IF(H17,H115/H17,"")</f>
        <v>0.86470588235294121</v>
      </c>
      <c r="I116" s="32">
        <f t="shared" si="99"/>
        <v>0.18193323841163769</v>
      </c>
      <c r="J116" s="30">
        <f>IF(J17,J115/J17,"")</f>
        <v>0.86627906976744184</v>
      </c>
      <c r="K116" s="32">
        <f t="shared" si="100"/>
        <v>1.088234178895088</v>
      </c>
      <c r="L116" s="30">
        <f>IF(L17,L115/L17,"")</f>
        <v>0.87570621468926557</v>
      </c>
      <c r="M116" s="32">
        <f t="shared" si="101"/>
        <v>-1.3782991202346069</v>
      </c>
      <c r="N116" s="30">
        <f>IF(N17,N115/N17,"")</f>
        <v>0.86363636363636365</v>
      </c>
      <c r="O116" s="32">
        <f t="shared" si="102"/>
        <v>0.17740981667652203</v>
      </c>
      <c r="P116" s="30">
        <f>IF(P17,P115/P17,"")</f>
        <v>0.8651685393258427</v>
      </c>
      <c r="Q116" s="32">
        <f t="shared" si="103"/>
        <v>1.4574314574314557</v>
      </c>
      <c r="R116" s="30">
        <f>IF(R17,R115/R17,"")</f>
        <v>0.87777777777777777</v>
      </c>
      <c r="S116" s="32">
        <f t="shared" si="104"/>
        <v>-0.79647276347603158</v>
      </c>
      <c r="T116" s="30">
        <f>IF(T17,T115/T17,"")</f>
        <v>0.8707865168539326</v>
      </c>
      <c r="U116" s="32">
        <f t="shared" si="105"/>
        <v>1.2137780207763766</v>
      </c>
      <c r="V116" s="30">
        <f>IF(V17,V115/V17,"")</f>
        <v>0.88135593220338981</v>
      </c>
      <c r="W116" s="32">
        <f t="shared" si="106"/>
        <v>-3.111495246326708</v>
      </c>
      <c r="X116" s="30">
        <f>IF(X17,X115/X17,"")</f>
        <v>0.8539325842696629</v>
      </c>
      <c r="Y116" s="32">
        <f t="shared" si="107"/>
        <v>2.6315789473684275</v>
      </c>
      <c r="Z116" s="30">
        <f>IF(Z17,Z115/Z17,"")</f>
        <v>0.8764044943820225</v>
      </c>
      <c r="AA116" s="32" t="str">
        <f t="shared" si="108"/>
        <v>-</v>
      </c>
      <c r="AB116" s="30" t="str">
        <f>IF(AB17,AB115/AB17,"")</f>
        <v/>
      </c>
      <c r="AC116" s="32" t="str">
        <f t="shared" si="109"/>
        <v>-</v>
      </c>
      <c r="AD116" s="30" t="str">
        <f>IF(AD17,AD115/AD17,"")</f>
        <v/>
      </c>
      <c r="AE116" s="32" t="str">
        <f t="shared" si="110"/>
        <v>-</v>
      </c>
      <c r="AF116" s="30" t="str">
        <f>IF(AF17,AF115/AF17,"")</f>
        <v/>
      </c>
    </row>
    <row r="117" spans="1:32" ht="14.25" outlineLevel="1">
      <c r="A117" s="304" t="s">
        <v>171</v>
      </c>
      <c r="B117" s="294"/>
      <c r="C117" s="36" t="e">
        <f ca="1">'BD tratado'!D115</f>
        <v>#NAME?</v>
      </c>
      <c r="D117" s="15" t="str">
        <f ca="1">IF(D115,Graficos!B57,"")</f>
        <v>Moderado</v>
      </c>
      <c r="E117" s="32"/>
      <c r="F117" s="15" t="str">
        <f ca="1">IF(F115,Graficos!C57,"")</f>
        <v>Baixo</v>
      </c>
      <c r="G117" s="32"/>
      <c r="H117" s="15" t="str">
        <f ca="1">IF(H115,Graficos!D57,"")</f>
        <v>Baixo</v>
      </c>
      <c r="I117" s="32"/>
      <c r="J117" s="15" t="str">
        <f ca="1">IF(J115,Graficos!E57,"")</f>
        <v>Baixo</v>
      </c>
      <c r="K117" s="32"/>
      <c r="L117" s="15" t="str">
        <f ca="1">IF(L115,Graficos!F57,"")</f>
        <v>Baixo</v>
      </c>
      <c r="M117" s="32"/>
      <c r="N117" s="15" t="str">
        <f ca="1">IF(N115,Graficos!G57,"")</f>
        <v>Baixo</v>
      </c>
      <c r="O117" s="32"/>
      <c r="P117" s="15" t="str">
        <f ca="1">IF(P115,Graficos!H57,"")</f>
        <v>Baixo</v>
      </c>
      <c r="Q117" s="32"/>
      <c r="R117" s="15" t="str">
        <f ca="1">IF(R115,Graficos!I57,"")</f>
        <v>Baixo</v>
      </c>
      <c r="S117" s="32"/>
      <c r="T117" s="15" t="str">
        <f ca="1">IF(T115,Graficos!J57,"")</f>
        <v>Baixo</v>
      </c>
      <c r="U117" s="32"/>
      <c r="V117" s="15" t="str">
        <f ca="1">IF(V115,Graficos!K57,"")</f>
        <v>Baixo</v>
      </c>
      <c r="W117" s="32"/>
      <c r="X117" s="15" t="str">
        <f ca="1">IF(X115,Graficos!L57,"")</f>
        <v>Baixo</v>
      </c>
      <c r="Y117" s="32"/>
      <c r="Z117" s="15" t="str">
        <f ca="1">IF(Z115,Graficos!M57,"")</f>
        <v>Baixo</v>
      </c>
      <c r="AA117" s="32"/>
      <c r="AB117" s="15" t="str">
        <f>IF(AB115,Graficos!N57,"")</f>
        <v/>
      </c>
      <c r="AC117" s="32"/>
      <c r="AD117" s="15" t="str">
        <f>IF(AD115,Graficos!O57,"")</f>
        <v/>
      </c>
      <c r="AE117" s="32"/>
      <c r="AF117" s="15" t="str">
        <f>IF(AF115,Graficos!P57,"")</f>
        <v/>
      </c>
    </row>
    <row r="118" spans="1:32" ht="14.25">
      <c r="A118" s="303" t="s">
        <v>172</v>
      </c>
      <c r="B118" s="294"/>
      <c r="C118" s="15"/>
      <c r="D118" s="15"/>
      <c r="E118" s="32"/>
      <c r="F118" s="15"/>
      <c r="G118" s="32"/>
      <c r="H118" s="15"/>
      <c r="I118" s="32"/>
      <c r="J118" s="15"/>
      <c r="K118" s="32"/>
      <c r="L118" s="15"/>
      <c r="M118" s="32"/>
      <c r="N118" s="15"/>
      <c r="O118" s="32"/>
      <c r="P118" s="15"/>
      <c r="Q118" s="32"/>
      <c r="R118" s="15"/>
      <c r="S118" s="32"/>
      <c r="T118" s="15"/>
      <c r="U118" s="32"/>
      <c r="V118" s="15"/>
      <c r="W118" s="32"/>
      <c r="X118" s="15"/>
      <c r="Y118" s="32"/>
      <c r="Z118" s="15"/>
      <c r="AA118" s="32"/>
      <c r="AB118" s="15"/>
      <c r="AC118" s="32"/>
      <c r="AD118" s="15"/>
      <c r="AE118" s="32"/>
      <c r="AF118" s="15"/>
    </row>
    <row r="119" spans="1:32" ht="14.25" outlineLevel="1">
      <c r="A119" s="304" t="s">
        <v>173</v>
      </c>
      <c r="B119" s="294"/>
      <c r="C119" s="30" t="e">
        <f ca="1">'BD tratado'!D117</f>
        <v>#NAME?</v>
      </c>
      <c r="D119" s="31">
        <v>55</v>
      </c>
      <c r="E119" s="32">
        <f t="shared" ref="E119:E120" si="111">IF(OR(D119="",F119=""),"-",(F119-D119)*100/D119)</f>
        <v>9.0909090909090917</v>
      </c>
      <c r="F119" s="31">
        <v>60</v>
      </c>
      <c r="G119" s="32">
        <f t="shared" ref="G119:G120" si="112">IF(OR(F119="",H119=""),"-",(H119-F119)*100/F119)</f>
        <v>0</v>
      </c>
      <c r="H119" s="31">
        <v>60</v>
      </c>
      <c r="I119" s="32">
        <f t="shared" ref="I119:I120" si="113">IF(OR(H119="",J119=""),"-",(J119-H119)*100/H119)</f>
        <v>0</v>
      </c>
      <c r="J119" s="31">
        <v>60</v>
      </c>
      <c r="K119" s="32">
        <f t="shared" ref="K119:K120" si="114">IF(OR(J119="",L119=""),"-",(L119-J119)*100/J119)</f>
        <v>0</v>
      </c>
      <c r="L119" s="31">
        <v>60</v>
      </c>
      <c r="M119" s="32">
        <f t="shared" ref="M119:M120" si="115">IF(OR(L119="",N119=""),"-",(N119-L119)*100/L119)</f>
        <v>0</v>
      </c>
      <c r="N119" s="31">
        <v>60</v>
      </c>
      <c r="O119" s="32">
        <f t="shared" ref="O119:O120" si="116">IF(OR(N119="",P119=""),"-",(P119-N119)*100/N119)</f>
        <v>0</v>
      </c>
      <c r="P119" s="31">
        <v>60</v>
      </c>
      <c r="Q119" s="32">
        <f t="shared" ref="Q119:Q120" si="117">IF(OR(P119="",R119=""),"-",(R119-P119)*100/P119)</f>
        <v>0</v>
      </c>
      <c r="R119" s="31">
        <v>60</v>
      </c>
      <c r="S119" s="32">
        <f t="shared" ref="S119:S120" si="118">IF(OR(R119="",T119=""),"-",(T119-R119)*100/R119)</f>
        <v>-5</v>
      </c>
      <c r="T119" s="31">
        <v>57</v>
      </c>
      <c r="U119" s="32">
        <f t="shared" ref="U119:U120" si="119">IF(OR(T119="",V119=""),"-",(V119-T119)*100/T119)</f>
        <v>-1.7543859649122806</v>
      </c>
      <c r="V119" s="31">
        <v>56</v>
      </c>
      <c r="W119" s="32" t="str">
        <f t="shared" ref="W119:W120" si="120">IF(OR(V119="",X119=""),"-",(X119-V119)*100/V119)</f>
        <v>-</v>
      </c>
      <c r="X119" s="31"/>
      <c r="Y119" s="32" t="str">
        <f t="shared" ref="Y119:Y120" si="121">IF(OR(X119="",Z119=""),"-",(Z119-X119)*100/X119)</f>
        <v>-</v>
      </c>
      <c r="Z119" s="31"/>
      <c r="AA119" s="32" t="str">
        <f t="shared" ref="AA119:AA120" si="122">IF(OR(Z119="",AB119=""),"-",(AB119-Z119)*100/Z119)</f>
        <v>-</v>
      </c>
      <c r="AB119" s="31"/>
      <c r="AC119" s="32" t="str">
        <f t="shared" ref="AC119:AC120" si="123">IF(OR(AB119="",AD119=""),"-",(AD119-AB119)*100/AB119)</f>
        <v>-</v>
      </c>
      <c r="AD119" s="31"/>
      <c r="AE119" s="32" t="str">
        <f t="shared" ref="AE119:AE120" si="124">IF(OR(AD119="",AF119=""),"-",(AF119-AD119)*100/AD119)</f>
        <v>-</v>
      </c>
      <c r="AF119" s="31"/>
    </row>
    <row r="120" spans="1:32" ht="14.25" outlineLevel="1">
      <c r="A120" s="304" t="s">
        <v>174</v>
      </c>
      <c r="B120" s="294"/>
      <c r="C120" s="30" t="e">
        <f ca="1">'BD tratado'!D118</f>
        <v>#NAME?</v>
      </c>
      <c r="D120" s="31">
        <v>27.2</v>
      </c>
      <c r="E120" s="32">
        <f t="shared" si="111"/>
        <v>15.808823529411768</v>
      </c>
      <c r="F120" s="31">
        <v>31.5</v>
      </c>
      <c r="G120" s="32">
        <f t="shared" si="112"/>
        <v>0</v>
      </c>
      <c r="H120" s="31">
        <v>31.5</v>
      </c>
      <c r="I120" s="32">
        <f t="shared" si="113"/>
        <v>-1.5873015873015872</v>
      </c>
      <c r="J120" s="31">
        <v>31</v>
      </c>
      <c r="K120" s="32">
        <f t="shared" si="114"/>
        <v>3.225806451612903</v>
      </c>
      <c r="L120" s="31">
        <v>32</v>
      </c>
      <c r="M120" s="32">
        <f t="shared" si="115"/>
        <v>0</v>
      </c>
      <c r="N120" s="31">
        <v>32</v>
      </c>
      <c r="O120" s="32">
        <f t="shared" si="116"/>
        <v>0</v>
      </c>
      <c r="P120" s="31">
        <v>32</v>
      </c>
      <c r="Q120" s="32">
        <f t="shared" si="117"/>
        <v>0</v>
      </c>
      <c r="R120" s="31">
        <v>32</v>
      </c>
      <c r="S120" s="32">
        <f t="shared" si="118"/>
        <v>-3.125</v>
      </c>
      <c r="T120" s="31">
        <v>31</v>
      </c>
      <c r="U120" s="32">
        <f t="shared" si="119"/>
        <v>0</v>
      </c>
      <c r="V120" s="31">
        <v>31</v>
      </c>
      <c r="W120" s="32" t="str">
        <f t="shared" si="120"/>
        <v>-</v>
      </c>
      <c r="X120" s="31"/>
      <c r="Y120" s="32" t="str">
        <f t="shared" si="121"/>
        <v>-</v>
      </c>
      <c r="Z120" s="31"/>
      <c r="AA120" s="32" t="str">
        <f t="shared" si="122"/>
        <v>-</v>
      </c>
      <c r="AB120" s="31"/>
      <c r="AC120" s="32" t="str">
        <f t="shared" si="123"/>
        <v>-</v>
      </c>
      <c r="AD120" s="31"/>
      <c r="AE120" s="32" t="str">
        <f t="shared" si="124"/>
        <v>-</v>
      </c>
      <c r="AF120" s="31"/>
    </row>
    <row r="121" spans="1:32" ht="14.25" outlineLevel="1">
      <c r="A121" s="311" t="s">
        <v>175</v>
      </c>
      <c r="B121" s="294"/>
      <c r="C121" s="36" t="e">
        <f ca="1">'BD tratado'!D119</f>
        <v>#NAME?</v>
      </c>
      <c r="D121" s="15" t="str">
        <f ca="1">IF(D119,Graficos!B86,"")</f>
        <v>Excelente</v>
      </c>
      <c r="E121" s="32"/>
      <c r="F121" s="15" t="str">
        <f ca="1">IF(F119,Graficos!C86,"")</f>
        <v>Excelente</v>
      </c>
      <c r="G121" s="32"/>
      <c r="H121" s="15" t="str">
        <f ca="1">IF(H119,Graficos!D86,"")</f>
        <v>Excelente</v>
      </c>
      <c r="I121" s="32"/>
      <c r="J121" s="15" t="str">
        <f ca="1">IF(J119,Graficos!E86,"")</f>
        <v>Excelente</v>
      </c>
      <c r="K121" s="32"/>
      <c r="L121" s="15" t="str">
        <f ca="1">IF(L119,Graficos!F86,"")</f>
        <v>Excelente</v>
      </c>
      <c r="M121" s="32"/>
      <c r="N121" s="15" t="str">
        <f ca="1">IF(N119,Graficos!G86,"")</f>
        <v>Excelente</v>
      </c>
      <c r="O121" s="32"/>
      <c r="P121" s="15" t="str">
        <f ca="1">IF(P119,Graficos!H86,"")</f>
        <v>Excelente</v>
      </c>
      <c r="Q121" s="32"/>
      <c r="R121" s="15" t="str">
        <f ca="1">IF(R119,Graficos!I86,"")</f>
        <v>Excelente</v>
      </c>
      <c r="S121" s="32"/>
      <c r="T121" s="15" t="str">
        <f ca="1">IF(T119,Graficos!J86,"")</f>
        <v>Excelente</v>
      </c>
      <c r="U121" s="32"/>
      <c r="V121" s="15" t="str">
        <f ca="1">IF(V119,Graficos!K86,"")</f>
        <v>Excelente</v>
      </c>
      <c r="W121" s="32"/>
      <c r="X121" s="15" t="str">
        <f>IF(X119,Graficos!L86,"")</f>
        <v/>
      </c>
      <c r="Y121" s="32"/>
      <c r="Z121" s="15" t="str">
        <f>IF(Z119,Graficos!M86,"")</f>
        <v/>
      </c>
      <c r="AA121" s="32"/>
      <c r="AB121" s="15" t="str">
        <f>IF(AB119,Graficos!N86,"")</f>
        <v/>
      </c>
      <c r="AC121" s="32"/>
      <c r="AD121" s="15" t="str">
        <f>IF(AD119,Graficos!O86,"")</f>
        <v/>
      </c>
      <c r="AE121" s="32"/>
      <c r="AF121" s="15" t="str">
        <f>IF(AF119,Graficos!P86,"")</f>
        <v/>
      </c>
    </row>
    <row r="122" spans="1:32" ht="14.25" outlineLevel="1">
      <c r="A122" s="311" t="s">
        <v>176</v>
      </c>
      <c r="B122" s="294"/>
      <c r="C122" s="36" t="e">
        <f ca="1">'BD tratado'!D120</f>
        <v>#NAME?</v>
      </c>
      <c r="D122" s="15" t="str">
        <f ca="1">IF(D120,Graficos!B118,"")</f>
        <v>Bom</v>
      </c>
      <c r="E122" s="32"/>
      <c r="F122" s="15" t="str">
        <f ca="1">IF(F120,Graficos!C118,"")</f>
        <v>Acima da Média</v>
      </c>
      <c r="G122" s="32"/>
      <c r="H122" s="15" t="str">
        <f ca="1">IF(H120,Graficos!D118,"")</f>
        <v>Acima da Média</v>
      </c>
      <c r="I122" s="32"/>
      <c r="J122" s="15" t="str">
        <f ca="1">IF(J120,Graficos!E118,"")</f>
        <v>Acima da Média</v>
      </c>
      <c r="K122" s="32"/>
      <c r="L122" s="15" t="str">
        <f ca="1">IF(L120,Graficos!F118,"")</f>
        <v>Acima da Média</v>
      </c>
      <c r="M122" s="32"/>
      <c r="N122" s="15" t="str">
        <f ca="1">IF(N120,Graficos!G118,"")</f>
        <v>Acima da Média</v>
      </c>
      <c r="O122" s="32"/>
      <c r="P122" s="15" t="str">
        <f ca="1">IF(P120,Graficos!H118,"")</f>
        <v>Acima da Média</v>
      </c>
      <c r="Q122" s="32"/>
      <c r="R122" s="15" t="str">
        <f ca="1">IF(R120,Graficos!I118,"")</f>
        <v>Acima da Média</v>
      </c>
      <c r="S122" s="32"/>
      <c r="T122" s="15" t="str">
        <f ca="1">IF(T120,Graficos!J118,"")</f>
        <v>Acima da Média</v>
      </c>
      <c r="U122" s="32"/>
      <c r="V122" s="15" t="str">
        <f ca="1">IF(V120,Graficos!K118,"")</f>
        <v>Acima da Média</v>
      </c>
      <c r="W122" s="32"/>
      <c r="X122" s="15" t="str">
        <f>IF(X120,Graficos!L118,"")</f>
        <v/>
      </c>
      <c r="Y122" s="32"/>
      <c r="Z122" s="15" t="str">
        <f>IF(Z120,Graficos!M118,"")</f>
        <v/>
      </c>
      <c r="AA122" s="32"/>
      <c r="AB122" s="15" t="str">
        <f>IF(AB120,Graficos!N118,"")</f>
        <v/>
      </c>
      <c r="AC122" s="32"/>
      <c r="AD122" s="15" t="str">
        <f>IF(AD120,Graficos!O118,"")</f>
        <v/>
      </c>
      <c r="AE122" s="32"/>
      <c r="AF122" s="15" t="str">
        <f>IF(AF120,Graficos!P118,"")</f>
        <v/>
      </c>
    </row>
    <row r="123" spans="1:32" ht="14.25" outlineLevel="1">
      <c r="A123" s="312" t="s">
        <v>177</v>
      </c>
      <c r="B123" s="294"/>
      <c r="C123" s="294"/>
      <c r="D123" s="15"/>
      <c r="E123" s="32"/>
      <c r="F123" s="15"/>
      <c r="G123" s="32"/>
      <c r="H123" s="15"/>
      <c r="I123" s="32"/>
      <c r="J123" s="15"/>
      <c r="K123" s="32"/>
      <c r="L123" s="15"/>
      <c r="M123" s="32"/>
      <c r="N123" s="15"/>
      <c r="O123" s="32"/>
      <c r="P123" s="15"/>
      <c r="Q123" s="32"/>
      <c r="R123" s="15"/>
      <c r="S123" s="32"/>
      <c r="T123" s="15"/>
      <c r="U123" s="32"/>
      <c r="V123" s="15"/>
      <c r="W123" s="32"/>
      <c r="X123" s="15"/>
      <c r="Y123" s="32"/>
      <c r="Z123" s="15"/>
      <c r="AA123" s="32"/>
      <c r="AB123" s="15"/>
      <c r="AC123" s="32"/>
      <c r="AD123" s="15"/>
      <c r="AE123" s="32"/>
      <c r="AF123" s="15"/>
    </row>
    <row r="124" spans="1:32" ht="14.25" outlineLevel="1">
      <c r="A124" s="294"/>
      <c r="B124" s="294"/>
      <c r="C124" s="294"/>
      <c r="D124" s="15"/>
      <c r="E124" s="32"/>
      <c r="F124" s="15"/>
      <c r="G124" s="32"/>
      <c r="H124" s="15"/>
      <c r="I124" s="32"/>
      <c r="J124" s="15"/>
      <c r="K124" s="32"/>
      <c r="L124" s="15"/>
      <c r="M124" s="32"/>
      <c r="N124" s="15"/>
      <c r="O124" s="32"/>
      <c r="P124" s="15"/>
      <c r="Q124" s="32"/>
      <c r="R124" s="15"/>
      <c r="S124" s="32"/>
      <c r="T124" s="15"/>
      <c r="U124" s="32"/>
      <c r="V124" s="15"/>
      <c r="W124" s="32"/>
      <c r="X124" s="15"/>
      <c r="Y124" s="32"/>
      <c r="Z124" s="15"/>
      <c r="AA124" s="32"/>
      <c r="AB124" s="15"/>
      <c r="AC124" s="32"/>
      <c r="AD124" s="15"/>
      <c r="AE124" s="32"/>
      <c r="AF124" s="15"/>
    </row>
    <row r="125" spans="1:32" ht="14.25">
      <c r="A125" s="303" t="s">
        <v>178</v>
      </c>
      <c r="B125" s="294"/>
      <c r="C125" s="15"/>
      <c r="D125" s="15"/>
      <c r="E125" s="32"/>
      <c r="F125" s="15"/>
      <c r="G125" s="32"/>
      <c r="H125" s="15"/>
      <c r="I125" s="32"/>
      <c r="J125" s="15"/>
      <c r="K125" s="32"/>
      <c r="L125" s="15"/>
      <c r="M125" s="32"/>
      <c r="N125" s="15"/>
      <c r="O125" s="32"/>
      <c r="P125" s="15"/>
      <c r="Q125" s="32"/>
      <c r="R125" s="15"/>
      <c r="S125" s="32"/>
      <c r="T125" s="15"/>
      <c r="U125" s="32"/>
      <c r="V125" s="15"/>
      <c r="W125" s="32"/>
      <c r="X125" s="15"/>
      <c r="Y125" s="32"/>
      <c r="Z125" s="15"/>
      <c r="AA125" s="32"/>
      <c r="AB125" s="15"/>
      <c r="AC125" s="32"/>
      <c r="AD125" s="15"/>
      <c r="AE125" s="32"/>
      <c r="AF125" s="15"/>
    </row>
    <row r="126" spans="1:32" ht="14.25" outlineLevel="1">
      <c r="A126" s="304" t="s">
        <v>179</v>
      </c>
      <c r="B126" s="294"/>
      <c r="C126" s="15" t="s">
        <v>55</v>
      </c>
      <c r="D126" s="37"/>
      <c r="E126" s="32"/>
      <c r="F126" s="37"/>
      <c r="G126" s="32"/>
      <c r="H126" s="37"/>
      <c r="I126" s="32"/>
      <c r="J126" s="37"/>
      <c r="K126" s="32"/>
      <c r="L126" s="37"/>
      <c r="M126" s="32"/>
      <c r="N126" s="37"/>
      <c r="O126" s="32"/>
      <c r="P126" s="37"/>
      <c r="Q126" s="32"/>
      <c r="R126" s="37"/>
      <c r="S126" s="32"/>
      <c r="T126" s="37"/>
      <c r="U126" s="32"/>
      <c r="V126" s="37"/>
      <c r="W126" s="32"/>
      <c r="X126" s="37"/>
      <c r="Y126" s="32"/>
      <c r="Z126" s="37"/>
      <c r="AA126" s="32"/>
      <c r="AB126" s="37"/>
      <c r="AC126" s="32"/>
      <c r="AD126" s="37"/>
      <c r="AE126" s="32"/>
      <c r="AF126" s="37"/>
    </row>
    <row r="127" spans="1:32" ht="14.25" outlineLevel="1">
      <c r="A127" s="304" t="s">
        <v>180</v>
      </c>
      <c r="B127" s="294"/>
      <c r="C127" s="15" t="s">
        <v>55</v>
      </c>
      <c r="D127" s="37"/>
      <c r="E127" s="32"/>
      <c r="F127" s="37"/>
      <c r="G127" s="32"/>
      <c r="H127" s="37"/>
      <c r="I127" s="32"/>
      <c r="J127" s="37"/>
      <c r="K127" s="32"/>
      <c r="L127" s="37"/>
      <c r="M127" s="32"/>
      <c r="N127" s="37"/>
      <c r="O127" s="32"/>
      <c r="P127" s="37"/>
      <c r="Q127" s="32"/>
      <c r="R127" s="37"/>
      <c r="S127" s="32"/>
      <c r="T127" s="37"/>
      <c r="U127" s="32"/>
      <c r="V127" s="37"/>
      <c r="W127" s="32"/>
      <c r="X127" s="37"/>
      <c r="Y127" s="32"/>
      <c r="Z127" s="37"/>
      <c r="AA127" s="32"/>
      <c r="AB127" s="37"/>
      <c r="AC127" s="32"/>
      <c r="AD127" s="37"/>
      <c r="AE127" s="32"/>
      <c r="AF127" s="37"/>
    </row>
    <row r="128" spans="1:32" ht="14.25" outlineLevel="1">
      <c r="A128" s="304" t="s">
        <v>181</v>
      </c>
      <c r="B128" s="294"/>
      <c r="C128" s="15" t="s">
        <v>55</v>
      </c>
      <c r="D128" s="37"/>
      <c r="E128" s="32"/>
      <c r="F128" s="37"/>
      <c r="G128" s="32"/>
      <c r="H128" s="37"/>
      <c r="I128" s="32"/>
      <c r="J128" s="37"/>
      <c r="K128" s="32"/>
      <c r="L128" s="37"/>
      <c r="M128" s="32"/>
      <c r="N128" s="37"/>
      <c r="O128" s="32"/>
      <c r="P128" s="37"/>
      <c r="Q128" s="32"/>
      <c r="R128" s="37"/>
      <c r="S128" s="32"/>
      <c r="T128" s="37"/>
      <c r="U128" s="32"/>
      <c r="V128" s="37"/>
      <c r="W128" s="32"/>
      <c r="X128" s="37"/>
      <c r="Y128" s="32"/>
      <c r="Z128" s="37"/>
      <c r="AA128" s="32"/>
      <c r="AB128" s="37"/>
      <c r="AC128" s="32"/>
      <c r="AD128" s="37"/>
      <c r="AE128" s="32"/>
      <c r="AF128" s="37"/>
    </row>
    <row r="129" spans="1:32" ht="14.25" outlineLevel="1">
      <c r="A129" s="304" t="s">
        <v>182</v>
      </c>
      <c r="B129" s="294"/>
      <c r="C129" s="15" t="s">
        <v>55</v>
      </c>
      <c r="D129" s="37"/>
      <c r="E129" s="32"/>
      <c r="F129" s="37"/>
      <c r="G129" s="32"/>
      <c r="H129" s="37"/>
      <c r="I129" s="32"/>
      <c r="J129" s="37"/>
      <c r="K129" s="32"/>
      <c r="L129" s="37"/>
      <c r="M129" s="32"/>
      <c r="N129" s="37"/>
      <c r="O129" s="32"/>
      <c r="P129" s="37"/>
      <c r="Q129" s="32"/>
      <c r="R129" s="37"/>
      <c r="S129" s="32"/>
      <c r="T129" s="37"/>
      <c r="U129" s="32"/>
      <c r="V129" s="37"/>
      <c r="W129" s="32"/>
      <c r="X129" s="37"/>
      <c r="Y129" s="32"/>
      <c r="Z129" s="37"/>
      <c r="AA129" s="32"/>
      <c r="AB129" s="37"/>
      <c r="AC129" s="32"/>
      <c r="AD129" s="37"/>
      <c r="AE129" s="32"/>
      <c r="AF129" s="37"/>
    </row>
    <row r="130" spans="1:32" ht="14.25" outlineLevel="1">
      <c r="A130" s="304" t="s">
        <v>183</v>
      </c>
      <c r="B130" s="294"/>
      <c r="C130" s="30" t="e">
        <f ca="1">'BD tratado'!D128</f>
        <v>#NAME?</v>
      </c>
      <c r="D130" s="38" t="str">
        <f>IF(D127="","",D126*100/(55.51*EXP(-0.0723*D127)+48.47))</f>
        <v/>
      </c>
      <c r="E130" s="32" t="str">
        <f t="shared" ref="E130:E132" si="125">IF(OR(D130="",F130=""),"-",(F130-D130)*100/D130)</f>
        <v>-</v>
      </c>
      <c r="F130" s="38" t="str">
        <f>IF(F127="","",F126*100/(55.51*EXP(-0.0723*F127)+48.47))</f>
        <v/>
      </c>
      <c r="G130" s="32" t="str">
        <f t="shared" ref="G130:G132" si="126">IF(OR(F130="",H130=""),"-",(H130-F130)*100/F130)</f>
        <v>-</v>
      </c>
      <c r="H130" s="38" t="str">
        <f>IF(H127="","",H126*100/(55.51*EXP(-0.0723*H127)+48.47))</f>
        <v/>
      </c>
      <c r="I130" s="32" t="str">
        <f t="shared" ref="I130:I132" si="127">IF(OR(H130="",J130=""),"-",(J130-H130)*100/H130)</f>
        <v>-</v>
      </c>
      <c r="J130" s="38" t="str">
        <f>IF(J127="","",J126*100/(55.51*EXP(-0.0723*J127)+48.47))</f>
        <v/>
      </c>
      <c r="K130" s="32" t="str">
        <f t="shared" ref="K130:K132" si="128">IF(OR(J130="",L130=""),"-",(L130-J130)*100/J130)</f>
        <v>-</v>
      </c>
      <c r="L130" s="38" t="str">
        <f>IF(L127="","",L126*100/(55.51*EXP(-0.0723*L127)+48.47))</f>
        <v/>
      </c>
      <c r="M130" s="32" t="str">
        <f t="shared" ref="M130:M132" si="129">IF(OR(L130="",N130=""),"-",(N130-L130)*100/L130)</f>
        <v>-</v>
      </c>
      <c r="N130" s="38" t="str">
        <f>IF(N127="","",N126*100/(55.51*EXP(-0.0723*N127)+48.47))</f>
        <v/>
      </c>
      <c r="O130" s="32" t="str">
        <f t="shared" ref="O130:O132" si="130">IF(OR(N130="",P130=""),"-",(P130-N130)*100/N130)</f>
        <v>-</v>
      </c>
      <c r="P130" s="38" t="str">
        <f>IF(P127="","",P126*100/(55.51*EXP(-0.0723*P127)+48.47))</f>
        <v/>
      </c>
      <c r="Q130" s="32" t="str">
        <f t="shared" ref="Q130:Q132" si="131">IF(OR(P130="",R130=""),"-",(R130-P130)*100/P130)</f>
        <v>-</v>
      </c>
      <c r="R130" s="38" t="str">
        <f>IF(R127="","",R126*100/(55.51*EXP(-0.0723*R127)+48.47))</f>
        <v/>
      </c>
      <c r="S130" s="32" t="str">
        <f t="shared" ref="S130:S132" si="132">IF(OR(R130="",T130=""),"-",(T130-R130)*100/R130)</f>
        <v>-</v>
      </c>
      <c r="T130" s="38" t="str">
        <f>IF(T127="","",T126*100/(55.51*EXP(-0.0723*T127)+48.47))</f>
        <v/>
      </c>
      <c r="U130" s="32" t="str">
        <f t="shared" ref="U130:U132" si="133">IF(OR(T130="",V130=""),"-",(V130-T130)*100/T130)</f>
        <v>-</v>
      </c>
      <c r="V130" s="38" t="str">
        <f>IF(V127="","",V126*100/(55.51*EXP(-0.0723*V127)+48.47))</f>
        <v/>
      </c>
      <c r="W130" s="32" t="str">
        <f t="shared" ref="W130:W132" si="134">IF(OR(V130="",X130=""),"-",(X130-V130)*100/V130)</f>
        <v>-</v>
      </c>
      <c r="X130" s="38" t="str">
        <f>IF(X127="","",X126*100/(55.51*EXP(-0.0723*X127)+48.47))</f>
        <v/>
      </c>
      <c r="Y130" s="32" t="str">
        <f t="shared" ref="Y130:Y132" si="135">IF(OR(X130="",Z130=""),"-",(Z130-X130)*100/X130)</f>
        <v>-</v>
      </c>
      <c r="Z130" s="38" t="str">
        <f>IF(Z127="","",Z126*100/(55.51*EXP(-0.0723*Z127)+48.47))</f>
        <v/>
      </c>
      <c r="AA130" s="32" t="str">
        <f t="shared" ref="AA130:AA132" si="136">IF(OR(Z130="",AB130=""),"-",(AB130-Z130)*100/Z130)</f>
        <v>-</v>
      </c>
      <c r="AB130" s="38" t="str">
        <f>IF(AB127="","",AB126*100/(55.51*EXP(-0.0723*AB127)+48.47))</f>
        <v/>
      </c>
      <c r="AC130" s="32" t="str">
        <f t="shared" ref="AC130:AC132" si="137">IF(OR(AB130="",AD130=""),"-",(AD130-AB130)*100/AB130)</f>
        <v>-</v>
      </c>
      <c r="AD130" s="38" t="str">
        <f>IF(AD127="","",AD126*100/(55.51*EXP(-0.0723*AD127)+48.47))</f>
        <v/>
      </c>
      <c r="AE130" s="32" t="str">
        <f t="shared" ref="AE130:AE132" si="138">IF(OR(AD130="",AF130=""),"-",(AF130-AD130)*100/AD130)</f>
        <v>-</v>
      </c>
      <c r="AF130" s="38" t="str">
        <f>IF(AF127="","",AF126*100/(55.51*EXP(-0.0723*AF127)+48.47))</f>
        <v/>
      </c>
    </row>
    <row r="131" spans="1:32" ht="14.25" outlineLevel="1">
      <c r="A131" s="304" t="s">
        <v>184</v>
      </c>
      <c r="B131" s="294"/>
      <c r="C131" s="30" t="e">
        <f ca="1">'BD tratado'!D129</f>
        <v>#NAME?</v>
      </c>
      <c r="D131" s="38" t="str">
        <f>IF(D129="","",D128*100/(78.17*EXP(-0.0569*D129)+26.49))</f>
        <v/>
      </c>
      <c r="E131" s="32" t="str">
        <f t="shared" si="125"/>
        <v>-</v>
      </c>
      <c r="F131" s="38" t="str">
        <f>IF(F129="","",F128*100/(78.17*EXP(-0.0569*F129)+26.49))</f>
        <v/>
      </c>
      <c r="G131" s="32" t="str">
        <f t="shared" si="126"/>
        <v>-</v>
      </c>
      <c r="H131" s="38" t="str">
        <f>IF(H129="","",H128*100/(78.17*EXP(-0.0569*H129)+26.49))</f>
        <v/>
      </c>
      <c r="I131" s="32" t="str">
        <f t="shared" si="127"/>
        <v>-</v>
      </c>
      <c r="J131" s="38" t="str">
        <f>IF(J129="","",J128*100/(78.17*EXP(-0.0569*J129)+26.49))</f>
        <v/>
      </c>
      <c r="K131" s="32" t="str">
        <f t="shared" si="128"/>
        <v>-</v>
      </c>
      <c r="L131" s="38" t="str">
        <f>IF(L129="","",L128*100/(78.17*EXP(-0.0569*L129)+26.49))</f>
        <v/>
      </c>
      <c r="M131" s="32" t="str">
        <f t="shared" si="129"/>
        <v>-</v>
      </c>
      <c r="N131" s="38" t="str">
        <f>IF(N129="","",N128*100/(78.17*EXP(-0.0569*N129)+26.49))</f>
        <v/>
      </c>
      <c r="O131" s="32" t="str">
        <f t="shared" si="130"/>
        <v>-</v>
      </c>
      <c r="P131" s="38" t="str">
        <f>IF(P129="","",P128*100/(78.17*EXP(-0.0569*P129)+26.49))</f>
        <v/>
      </c>
      <c r="Q131" s="32" t="str">
        <f t="shared" si="131"/>
        <v>-</v>
      </c>
      <c r="R131" s="38" t="str">
        <f>IF(R129="","",R128*100/(78.17*EXP(-0.0569*R129)+26.49))</f>
        <v/>
      </c>
      <c r="S131" s="32" t="str">
        <f t="shared" si="132"/>
        <v>-</v>
      </c>
      <c r="T131" s="38" t="str">
        <f>IF(T129="","",T128*100/(78.17*EXP(-0.0569*T129)+26.49))</f>
        <v/>
      </c>
      <c r="U131" s="32" t="str">
        <f t="shared" si="133"/>
        <v>-</v>
      </c>
      <c r="V131" s="38" t="str">
        <f>IF(V129="","",V128*100/(78.17*EXP(-0.0569*V129)+26.49))</f>
        <v/>
      </c>
      <c r="W131" s="32" t="str">
        <f t="shared" si="134"/>
        <v>-</v>
      </c>
      <c r="X131" s="38" t="str">
        <f>IF(X129="","",X128*100/(78.17*EXP(-0.0569*X129)+26.49))</f>
        <v/>
      </c>
      <c r="Y131" s="32" t="str">
        <f t="shared" si="135"/>
        <v>-</v>
      </c>
      <c r="Z131" s="38" t="str">
        <f>IF(Z129="","",Z128*100/(78.17*EXP(-0.0569*Z129)+26.49))</f>
        <v/>
      </c>
      <c r="AA131" s="32" t="str">
        <f t="shared" si="136"/>
        <v>-</v>
      </c>
      <c r="AB131" s="38" t="str">
        <f>IF(AB129="","",AB128*100/(78.17*EXP(-0.0569*AB129)+26.49))</f>
        <v/>
      </c>
      <c r="AC131" s="32" t="str">
        <f t="shared" si="137"/>
        <v>-</v>
      </c>
      <c r="AD131" s="38" t="str">
        <f>IF(AD129="","",AD128*100/(78.17*EXP(-0.0569*AD129)+26.49))</f>
        <v/>
      </c>
      <c r="AE131" s="32" t="str">
        <f t="shared" si="138"/>
        <v>-</v>
      </c>
      <c r="AF131" s="38" t="str">
        <f>IF(AF129="","",AF128*100/(78.17*EXP(-0.0569*AF129)+26.49))</f>
        <v/>
      </c>
    </row>
    <row r="132" spans="1:32" ht="14.25" outlineLevel="1">
      <c r="A132" s="304" t="s">
        <v>185</v>
      </c>
      <c r="B132" s="294"/>
      <c r="C132" s="30" t="e">
        <f ca="1">'BD tratado'!D130</f>
        <v>#NAME?</v>
      </c>
      <c r="D132" s="30" t="str">
        <f>IF(D130="","",D130/$D$10)</f>
        <v/>
      </c>
      <c r="E132" s="32" t="str">
        <f t="shared" si="125"/>
        <v>-</v>
      </c>
      <c r="F132" s="30" t="str">
        <f>IF(F130="","",F130/$D$10)</f>
        <v/>
      </c>
      <c r="G132" s="32" t="str">
        <f t="shared" si="126"/>
        <v>-</v>
      </c>
      <c r="H132" s="30" t="str">
        <f>IF(H130="","",H130/$D$10)</f>
        <v/>
      </c>
      <c r="I132" s="32" t="str">
        <f t="shared" si="127"/>
        <v>-</v>
      </c>
      <c r="J132" s="30" t="str">
        <f>IF(J130="","",J130/$D$10)</f>
        <v/>
      </c>
      <c r="K132" s="32" t="str">
        <f t="shared" si="128"/>
        <v>-</v>
      </c>
      <c r="L132" s="30" t="str">
        <f>IF(L130="","",L130/$D$10)</f>
        <v/>
      </c>
      <c r="M132" s="32" t="str">
        <f t="shared" si="129"/>
        <v>-</v>
      </c>
      <c r="N132" s="30" t="str">
        <f>IF(N130="","",N130/$D$10)</f>
        <v/>
      </c>
      <c r="O132" s="32" t="str">
        <f t="shared" si="130"/>
        <v>-</v>
      </c>
      <c r="P132" s="30" t="str">
        <f>IF(P130="","",P130/$D$10)</f>
        <v/>
      </c>
      <c r="Q132" s="32" t="str">
        <f t="shared" si="131"/>
        <v>-</v>
      </c>
      <c r="R132" s="30" t="str">
        <f>IF(R130="","",R130/$D$10)</f>
        <v/>
      </c>
      <c r="S132" s="32" t="str">
        <f t="shared" si="132"/>
        <v>-</v>
      </c>
      <c r="T132" s="30" t="str">
        <f>IF(T130="","",T130/$D$10)</f>
        <v/>
      </c>
      <c r="U132" s="32" t="str">
        <f t="shared" si="133"/>
        <v>-</v>
      </c>
      <c r="V132" s="30" t="str">
        <f>IF(V130="","",V130/$D$10)</f>
        <v/>
      </c>
      <c r="W132" s="32" t="str">
        <f t="shared" si="134"/>
        <v>-</v>
      </c>
      <c r="X132" s="30" t="str">
        <f>IF(X130="","",X130/$D$10)</f>
        <v/>
      </c>
      <c r="Y132" s="32" t="str">
        <f t="shared" si="135"/>
        <v>-</v>
      </c>
      <c r="Z132" s="30" t="str">
        <f>IF(Z130="","",Z130/$D$10)</f>
        <v/>
      </c>
      <c r="AA132" s="32" t="str">
        <f t="shared" si="136"/>
        <v>-</v>
      </c>
      <c r="AB132" s="30" t="str">
        <f>IF(AB130="","",AB130/$D$10)</f>
        <v/>
      </c>
      <c r="AC132" s="32" t="str">
        <f t="shared" si="137"/>
        <v>-</v>
      </c>
      <c r="AD132" s="30" t="str">
        <f>IF(AD130="","",AD130/$D$10)</f>
        <v/>
      </c>
      <c r="AE132" s="32" t="str">
        <f t="shared" si="138"/>
        <v>-</v>
      </c>
      <c r="AF132" s="30" t="str">
        <f>IF(AF130="","",AF130/$D$10)</f>
        <v/>
      </c>
    </row>
    <row r="133" spans="1:32" ht="14.25" outlineLevel="1">
      <c r="A133" s="311" t="s">
        <v>186</v>
      </c>
      <c r="B133" s="294"/>
      <c r="C133" s="36" t="e">
        <f ca="1">'BD tratado'!D131</f>
        <v>#NAME?</v>
      </c>
      <c r="D133" s="15" t="e">
        <f>IF(D132,Graficos!B164,"")</f>
        <v>#VALUE!</v>
      </c>
      <c r="E133" s="32"/>
      <c r="F133" s="15" t="e">
        <f>IF(F132,Graficos!C164,"")</f>
        <v>#VALUE!</v>
      </c>
      <c r="G133" s="32"/>
      <c r="H133" s="15" t="e">
        <f>IF(H132,Graficos!D164,"")</f>
        <v>#VALUE!</v>
      </c>
      <c r="I133" s="32"/>
      <c r="J133" s="15" t="e">
        <f>IF(J132,Graficos!E164,"")</f>
        <v>#VALUE!</v>
      </c>
      <c r="K133" s="32"/>
      <c r="L133" s="15" t="e">
        <f>IF(L132,Graficos!F164,"")</f>
        <v>#VALUE!</v>
      </c>
      <c r="M133" s="32"/>
      <c r="N133" s="15" t="e">
        <f>IF(N132,Graficos!G164,"")</f>
        <v>#VALUE!</v>
      </c>
      <c r="O133" s="32"/>
      <c r="P133" s="15" t="e">
        <f>IF(P132,Graficos!H164,"")</f>
        <v>#VALUE!</v>
      </c>
      <c r="Q133" s="32"/>
      <c r="R133" s="15" t="e">
        <f>IF(R132,Graficos!I164,"")</f>
        <v>#VALUE!</v>
      </c>
      <c r="S133" s="32"/>
      <c r="T133" s="15" t="e">
        <f>IF(T132,Graficos!J164,"")</f>
        <v>#VALUE!</v>
      </c>
      <c r="U133" s="32"/>
      <c r="V133" s="15" t="e">
        <f>IF(V132,Graficos!K164,"")</f>
        <v>#VALUE!</v>
      </c>
      <c r="W133" s="32"/>
      <c r="X133" s="15" t="e">
        <f>IF(X132,Graficos!L164,"")</f>
        <v>#VALUE!</v>
      </c>
      <c r="Y133" s="32"/>
      <c r="Z133" s="15" t="e">
        <f>IF(Z132,Graficos!M164,"")</f>
        <v>#VALUE!</v>
      </c>
      <c r="AA133" s="32"/>
      <c r="AB133" s="15" t="e">
        <f>IF(AB132,Graficos!N164,"")</f>
        <v>#VALUE!</v>
      </c>
      <c r="AC133" s="32"/>
      <c r="AD133" s="15" t="e">
        <f>IF(AD132,Graficos!O164,"")</f>
        <v>#VALUE!</v>
      </c>
      <c r="AE133" s="32"/>
      <c r="AF133" s="15" t="e">
        <f>IF(AF132,Graficos!P164,"")</f>
        <v>#VALUE!</v>
      </c>
    </row>
    <row r="134" spans="1:32" ht="14.25" outlineLevel="1">
      <c r="A134" s="304" t="s">
        <v>187</v>
      </c>
      <c r="B134" s="294"/>
      <c r="C134" s="30" t="e">
        <f ca="1">'BD tratado'!D132</f>
        <v>#NAME?</v>
      </c>
      <c r="D134" s="30" t="str">
        <f>IF(D131="","",D131/$D$10)</f>
        <v/>
      </c>
      <c r="E134" s="32" t="str">
        <f>IF(OR(D134="",F134=""),"-",(F134-D134)*100/D134)</f>
        <v>-</v>
      </c>
      <c r="F134" s="30" t="str">
        <f>IF(F131="","",F131/$D$10)</f>
        <v/>
      </c>
      <c r="G134" s="32" t="str">
        <f>IF(OR(F134="",H134=""),"-",(H134-F134)*100/F134)</f>
        <v>-</v>
      </c>
      <c r="H134" s="30" t="str">
        <f>IF(H131="","",H131/$D$10)</f>
        <v/>
      </c>
      <c r="I134" s="32" t="str">
        <f>IF(OR(H134="",J134=""),"-",(J134-H134)*100/H134)</f>
        <v>-</v>
      </c>
      <c r="J134" s="30" t="str">
        <f>IF(J131="","",J131/$D$10)</f>
        <v/>
      </c>
      <c r="K134" s="32" t="str">
        <f>IF(OR(J134="",L134=""),"-",(L134-J134)*100/J134)</f>
        <v>-</v>
      </c>
      <c r="L134" s="30" t="str">
        <f>IF(L131="","",L131/$D$10)</f>
        <v/>
      </c>
      <c r="M134" s="32" t="str">
        <f>IF(OR(L134="",N134=""),"-",(N134-L134)*100/L134)</f>
        <v>-</v>
      </c>
      <c r="N134" s="30" t="str">
        <f>IF(N131="","",N131/$D$10)</f>
        <v/>
      </c>
      <c r="O134" s="32" t="str">
        <f>IF(OR(N134="",P134=""),"-",(P134-N134)*100/N134)</f>
        <v>-</v>
      </c>
      <c r="P134" s="30" t="str">
        <f>IF(P131="","",P131/$D$10)</f>
        <v/>
      </c>
      <c r="Q134" s="32" t="str">
        <f>IF(OR(P134="",R134=""),"-",(R134-P134)*100/P134)</f>
        <v>-</v>
      </c>
      <c r="R134" s="30" t="str">
        <f>IF(R131="","",R131/$D$10)</f>
        <v/>
      </c>
      <c r="S134" s="32" t="str">
        <f>IF(OR(R134="",T134=""),"-",(T134-R134)*100/R134)</f>
        <v>-</v>
      </c>
      <c r="T134" s="30" t="str">
        <f>IF(T131="","",T131/$D$10)</f>
        <v/>
      </c>
      <c r="U134" s="32" t="str">
        <f>IF(OR(T134="",V134=""),"-",(V134-T134)*100/T134)</f>
        <v>-</v>
      </c>
      <c r="V134" s="30" t="str">
        <f>IF(V131="","",V131/$D$10)</f>
        <v/>
      </c>
      <c r="W134" s="32" t="str">
        <f>IF(OR(V134="",X134=""),"-",(X134-V134)*100/V134)</f>
        <v>-</v>
      </c>
      <c r="X134" s="30" t="str">
        <f>IF(X131="","",X131/$D$10)</f>
        <v/>
      </c>
      <c r="Y134" s="32" t="str">
        <f>IF(OR(X134="",Z134=""),"-",(Z134-X134)*100/X134)</f>
        <v>-</v>
      </c>
      <c r="Z134" s="30" t="str">
        <f>IF(Z131="","",Z131/$D$10)</f>
        <v/>
      </c>
      <c r="AA134" s="32" t="str">
        <f>IF(OR(Z134="",AB134=""),"-",(AB134-Z134)*100/Z134)</f>
        <v>-</v>
      </c>
      <c r="AB134" s="30" t="str">
        <f>IF(AB131="","",AB131/$D$10)</f>
        <v/>
      </c>
      <c r="AC134" s="32" t="str">
        <f>IF(OR(AB134="",AD134=""),"-",(AD134-AB134)*100/AB134)</f>
        <v>-</v>
      </c>
      <c r="AD134" s="30" t="str">
        <f>IF(AD131="","",AD131/$D$10)</f>
        <v/>
      </c>
      <c r="AE134" s="32" t="str">
        <f>IF(OR(AD134="",AF134=""),"-",(AF134-AD134)*100/AD134)</f>
        <v>-</v>
      </c>
      <c r="AF134" s="30" t="str">
        <f>IF(AF131="","",AF131/$D$10)</f>
        <v/>
      </c>
    </row>
    <row r="135" spans="1:32" ht="14.25" outlineLevel="1">
      <c r="A135" s="311" t="s">
        <v>188</v>
      </c>
      <c r="B135" s="294"/>
      <c r="C135" s="36" t="e">
        <f ca="1">'BD tratado'!D133</f>
        <v>#NAME?</v>
      </c>
      <c r="D135" s="15" t="e">
        <f>IF(D134,Graficos!B196,"")</f>
        <v>#VALUE!</v>
      </c>
      <c r="E135" s="32"/>
      <c r="F135" s="15" t="e">
        <f>IF(F134,Graficos!C196,"")</f>
        <v>#VALUE!</v>
      </c>
      <c r="G135" s="32"/>
      <c r="H135" s="15" t="e">
        <f>IF(H134,Graficos!D196,"")</f>
        <v>#VALUE!</v>
      </c>
      <c r="I135" s="32"/>
      <c r="J135" s="15" t="e">
        <f>IF(J134,Graficos!E196,"")</f>
        <v>#VALUE!</v>
      </c>
      <c r="K135" s="32"/>
      <c r="L135" s="15" t="e">
        <f>IF(L134,Graficos!F196,"")</f>
        <v>#VALUE!</v>
      </c>
      <c r="M135" s="32"/>
      <c r="N135" s="15" t="e">
        <f>IF(N134,Graficos!G196,"")</f>
        <v>#VALUE!</v>
      </c>
      <c r="O135" s="32"/>
      <c r="P135" s="15" t="e">
        <f>IF(P134,Graficos!H196,"")</f>
        <v>#VALUE!</v>
      </c>
      <c r="Q135" s="32"/>
      <c r="R135" s="15" t="e">
        <f>IF(R134,Graficos!I196,"")</f>
        <v>#VALUE!</v>
      </c>
      <c r="S135" s="32"/>
      <c r="T135" s="15" t="e">
        <f>IF(T134,Graficos!J196,"")</f>
        <v>#VALUE!</v>
      </c>
      <c r="U135" s="32"/>
      <c r="V135" s="15" t="e">
        <f>IF(V134,Graficos!K196,"")</f>
        <v>#VALUE!</v>
      </c>
      <c r="W135" s="32"/>
      <c r="X135" s="15" t="e">
        <f>IF(X134,Graficos!L196,"")</f>
        <v>#VALUE!</v>
      </c>
      <c r="Y135" s="32"/>
      <c r="Z135" s="15" t="e">
        <f>IF(Z134,Graficos!M196,"")</f>
        <v>#VALUE!</v>
      </c>
      <c r="AA135" s="32"/>
      <c r="AB135" s="15" t="e">
        <f>IF(AB134,Graficos!N196,"")</f>
        <v>#VALUE!</v>
      </c>
      <c r="AC135" s="32"/>
      <c r="AD135" s="15" t="e">
        <f>IF(AD134,Graficos!O196,"")</f>
        <v>#VALUE!</v>
      </c>
      <c r="AE135" s="32"/>
      <c r="AF135" s="15" t="e">
        <f>IF(AF134,Graficos!P196,"")</f>
        <v>#VALUE!</v>
      </c>
    </row>
    <row r="136" spans="1:32" ht="14.25" outlineLevel="1">
      <c r="A136" s="312" t="s">
        <v>177</v>
      </c>
      <c r="B136" s="294"/>
      <c r="C136" s="294"/>
      <c r="D136" s="15"/>
      <c r="E136" s="32"/>
      <c r="F136" s="15"/>
      <c r="G136" s="32"/>
      <c r="H136" s="15"/>
      <c r="I136" s="32"/>
      <c r="J136" s="15"/>
      <c r="K136" s="32"/>
      <c r="L136" s="15"/>
      <c r="M136" s="32"/>
      <c r="N136" s="15"/>
      <c r="O136" s="32"/>
      <c r="P136" s="15"/>
      <c r="Q136" s="32"/>
      <c r="R136" s="15"/>
      <c r="S136" s="32"/>
      <c r="T136" s="15"/>
      <c r="U136" s="32"/>
      <c r="V136" s="15"/>
      <c r="W136" s="32"/>
      <c r="X136" s="15"/>
      <c r="Y136" s="32"/>
      <c r="Z136" s="15"/>
      <c r="AA136" s="32"/>
      <c r="AB136" s="15"/>
      <c r="AC136" s="32"/>
      <c r="AD136" s="15"/>
      <c r="AE136" s="32"/>
      <c r="AF136" s="15"/>
    </row>
    <row r="137" spans="1:32" ht="14.25" outlineLevel="1">
      <c r="A137" s="294"/>
      <c r="B137" s="294"/>
      <c r="C137" s="294"/>
      <c r="D137" s="15"/>
      <c r="E137" s="32"/>
      <c r="F137" s="15"/>
      <c r="G137" s="32"/>
      <c r="H137" s="15"/>
      <c r="I137" s="32"/>
      <c r="J137" s="15"/>
      <c r="K137" s="32"/>
      <c r="L137" s="15"/>
      <c r="M137" s="32"/>
      <c r="N137" s="15"/>
      <c r="O137" s="32"/>
      <c r="P137" s="15"/>
      <c r="Q137" s="32"/>
      <c r="R137" s="15"/>
      <c r="S137" s="32"/>
      <c r="T137" s="15"/>
      <c r="U137" s="32"/>
      <c r="V137" s="15"/>
      <c r="W137" s="32"/>
      <c r="X137" s="15"/>
      <c r="Y137" s="32"/>
      <c r="Z137" s="15"/>
      <c r="AA137" s="32"/>
      <c r="AB137" s="15"/>
      <c r="AC137" s="32"/>
      <c r="AD137" s="15"/>
      <c r="AE137" s="32"/>
      <c r="AF137" s="15"/>
    </row>
    <row r="138" spans="1:32" ht="14.25">
      <c r="A138" s="303" t="s">
        <v>189</v>
      </c>
      <c r="B138" s="294"/>
      <c r="C138" s="29">
        <f>COUNTIF(D138:AF138,"False")</f>
        <v>0</v>
      </c>
      <c r="D138" s="29" t="b">
        <f>ISNA(MATCH(D$2,Metabólica!$E$1:$AH$1,0))</f>
        <v>1</v>
      </c>
      <c r="E138" s="39"/>
      <c r="F138" s="29" t="b">
        <f>ISNA(MATCH(F$2,Metabólica!$E$1:$AH$1,0))</f>
        <v>1</v>
      </c>
      <c r="G138" s="39"/>
      <c r="H138" s="29" t="b">
        <f>ISNA(MATCH(H$2,Metabólica!$E$1:$AH$1,0))</f>
        <v>1</v>
      </c>
      <c r="I138" s="39"/>
      <c r="J138" s="29" t="b">
        <f>ISNA(MATCH(J$2,Metabólica!$E$1:$AH$1,0))</f>
        <v>0</v>
      </c>
      <c r="K138" s="39"/>
      <c r="L138" s="29" t="b">
        <f>ISNA(MATCH(L$2,Metabólica!$E$1:$AH$1,0))</f>
        <v>0</v>
      </c>
      <c r="M138" s="39"/>
      <c r="N138" s="29" t="b">
        <f>ISNA(MATCH(N$2,Metabólica!$E$1:$AH$1,0))</f>
        <v>0</v>
      </c>
      <c r="O138" s="39"/>
      <c r="P138" s="29" t="b">
        <f>ISNA(MATCH(P$2,Metabólica!$E$1:$AH$1,0))</f>
        <v>0</v>
      </c>
      <c r="Q138" s="39"/>
      <c r="R138" s="29" t="b">
        <f>ISNA(MATCH(R$2,Metabólica!$E$1:$AH$1,0))</f>
        <v>0</v>
      </c>
      <c r="S138" s="39"/>
      <c r="T138" s="29" t="b">
        <f>ISNA(MATCH(T$2,Metabólica!$E$1:$AH$1,0))</f>
        <v>0</v>
      </c>
      <c r="U138" s="39"/>
      <c r="V138" s="29" t="b">
        <f>ISNA(MATCH(V$2,Metabólica!$E$1:$AH$1,0))</f>
        <v>0</v>
      </c>
      <c r="W138" s="39"/>
      <c r="X138" s="29" t="b">
        <f>ISNA(MATCH(X$2,Metabólica!$E$1:$AH$1,0))</f>
        <v>1</v>
      </c>
      <c r="Y138" s="39"/>
      <c r="Z138" s="29" t="b">
        <f>ISNA(MATCH(Z$2,Metabólica!$E$1:$AH$1,0))</f>
        <v>1</v>
      </c>
      <c r="AA138" s="39"/>
      <c r="AB138" s="29" t="b">
        <f>ISNA(MATCH(AB$2,Metabólica!$E$1:$AH$1,0))</f>
        <v>1</v>
      </c>
      <c r="AC138" s="39"/>
      <c r="AD138" s="29" t="b">
        <f>ISNA(MATCH(AD$2,Metabólica!$E$1:$AH$1,0))</f>
        <v>1</v>
      </c>
      <c r="AE138" s="39"/>
      <c r="AF138" s="29" t="b">
        <f>ISNA(MATCH(AF$2,Metabólica!$E$1:$AH$1,0))</f>
        <v>1</v>
      </c>
    </row>
    <row r="139" spans="1:32" ht="14.25" outlineLevel="1">
      <c r="A139" s="302" t="s">
        <v>190</v>
      </c>
      <c r="B139" s="294"/>
      <c r="C139" s="15" t="s">
        <v>55</v>
      </c>
      <c r="D139" s="15" t="str">
        <f ca="1">IF(D$138,"",OFFSET(Metabólica!$D$15,,MATCH(D$2,Metabólica!$E$1:$AH$1,0)))</f>
        <v/>
      </c>
      <c r="E139" s="32"/>
      <c r="F139" s="15" t="str">
        <f ca="1">IF(F$138,"",OFFSET(Metabólica!$D$15,,MATCH(F$2,Metabólica!$E$1:$AH$1,0)))</f>
        <v/>
      </c>
      <c r="G139" s="32"/>
      <c r="H139" s="15" t="str">
        <f ca="1">IF(H$138,"",OFFSET(Metabólica!$D$15,,MATCH(H$2,Metabólica!$E$1:$AH$1,0)))</f>
        <v/>
      </c>
      <c r="I139" s="32"/>
      <c r="J139" s="15" t="str">
        <f ca="1">IF(J$138,"",OFFSET(Metabólica!$D$15,,MATCH(J$2,Metabólica!$E$1:$AH$1,0)))</f>
        <v>Teste de Esteira Progressiva</v>
      </c>
      <c r="K139" s="32"/>
      <c r="L139" s="15" t="str">
        <f ca="1">IF(L$138,"",OFFSET(Metabólica!$D$15,,MATCH(L$2,Metabólica!$E$1:$AH$1,0)))</f>
        <v>Teste de Esteira Progressiva</v>
      </c>
      <c r="M139" s="32"/>
      <c r="N139" s="15" t="str">
        <f ca="1">IF(N$138,"",OFFSET(Metabólica!$D$15,,MATCH(N$2,Metabólica!$E$1:$AH$1,0)))</f>
        <v>Teste de Esteira Progressiva</v>
      </c>
      <c r="O139" s="32"/>
      <c r="P139" s="15" t="str">
        <f ca="1">IF(P$138,"",OFFSET(Metabólica!$D$15,,MATCH(P$2,Metabólica!$E$1:$AH$1,0)))</f>
        <v>Teste de Esteira Progressiva</v>
      </c>
      <c r="Q139" s="32"/>
      <c r="R139" s="15" t="str">
        <f ca="1">IF(R$138,"",OFFSET(Metabólica!$D$15,,MATCH(R$2,Metabólica!$E$1:$AH$1,0)))</f>
        <v>Teste de Esteira Progressiva</v>
      </c>
      <c r="S139" s="32"/>
      <c r="T139" s="15" t="str">
        <f ca="1">IF(T$138,"",OFFSET(Metabólica!$D$15,,MATCH(T$2,Metabólica!$E$1:$AH$1,0)))</f>
        <v>Teste de Esteira Progressiva</v>
      </c>
      <c r="U139" s="32"/>
      <c r="V139" s="15" t="str">
        <f ca="1">IF(V$138,"",OFFSET(Metabólica!$D$15,,MATCH(V$2,Metabólica!$E$1:$AH$1,0)))</f>
        <v>Teste de Esteira Progressiva</v>
      </c>
      <c r="W139" s="32"/>
      <c r="X139" s="15" t="str">
        <f ca="1">IF(X$138,"",OFFSET(Metabólica!$D$15,,MATCH(X$2,Metabólica!$E$1:$AH$1,0)))</f>
        <v/>
      </c>
      <c r="Y139" s="32"/>
      <c r="Z139" s="15" t="str">
        <f ca="1">IF(Z$138,"",OFFSET(Metabólica!$D$15,,MATCH(Z$2,Metabólica!$E$1:$AH$1,0)))</f>
        <v/>
      </c>
      <c r="AA139" s="32"/>
      <c r="AB139" s="15" t="str">
        <f ca="1">IF(AB$138,"",OFFSET(Metabólica!$D$15,,MATCH(AB$2,Metabólica!$E$1:$AH$1,0)))</f>
        <v/>
      </c>
      <c r="AC139" s="32"/>
      <c r="AD139" s="15" t="str">
        <f ca="1">IF(AD$138,"",OFFSET(Metabólica!$D$15,,MATCH(AD$2,Metabólica!$E$1:$AH$1,0)))</f>
        <v/>
      </c>
      <c r="AE139" s="32"/>
      <c r="AF139" s="15" t="str">
        <f ca="1">IF(AF$138,"",OFFSET(Metabólica!$D$15,,MATCH(AF$2,Metabólica!$E$1:$AH$1,0)))</f>
        <v/>
      </c>
    </row>
    <row r="140" spans="1:32" ht="14.25" outlineLevel="1">
      <c r="A140" s="302" t="s">
        <v>191</v>
      </c>
      <c r="B140" s="294"/>
      <c r="C140" s="30" t="e">
        <f ca="1">'BD tratado'!D137</f>
        <v>#NAME?</v>
      </c>
      <c r="D140" s="15">
        <v>52</v>
      </c>
      <c r="E140" s="32">
        <f t="shared" ref="E140:E141" si="139">IF(OR(D140="",F140=""),"-",(F140-D140)*100/D140)</f>
        <v>-5.7692307692307692</v>
      </c>
      <c r="F140" s="15">
        <v>49</v>
      </c>
      <c r="G140" s="32">
        <f t="shared" ref="G140:G141" si="140">IF(OR(F140="",H140=""),"-",(H140-F140)*100/F140)</f>
        <v>6.1224489795918364</v>
      </c>
      <c r="H140" s="15">
        <v>52</v>
      </c>
      <c r="I140" s="32">
        <f t="shared" ref="I140:I141" ca="1" si="141">IF(OR(H140="",J140=""),"-",(J140-H140)*100/H140)</f>
        <v>-13.461538461538462</v>
      </c>
      <c r="J140" s="15">
        <f ca="1">IF(J$138,"",OFFSET(Metabólica!$D$17,,MATCH(J$2,Metabólica!$E$1:$AH$1,0)))</f>
        <v>45</v>
      </c>
      <c r="K140" s="32">
        <f t="shared" ref="K140:K141" ca="1" si="142">IF(OR(J140="",L140=""),"-",(L140-J140)*100/J140)</f>
        <v>33.333333333333336</v>
      </c>
      <c r="L140" s="15">
        <f ca="1">IF(L$138,"",OFFSET(Metabólica!$D$17,,MATCH(L$2,Metabólica!$E$1:$AH$1,0)))</f>
        <v>60</v>
      </c>
      <c r="M140" s="32">
        <f t="shared" ref="M140:M141" ca="1" si="143">IF(OR(L140="",N140=""),"-",(N140-L140)*100/L140)</f>
        <v>0</v>
      </c>
      <c r="N140" s="15">
        <f ca="1">IF(N$138,"",OFFSET(Metabólica!$D$17,,MATCH(N$2,Metabólica!$E$1:$AH$1,0)))</f>
        <v>60</v>
      </c>
      <c r="O140" s="32">
        <f t="shared" ref="O140:O141" ca="1" si="144">IF(OR(N140="",P140=""),"-",(P140-N140)*100/N140)</f>
        <v>6.666666666666667</v>
      </c>
      <c r="P140" s="15">
        <f ca="1">IF(P$138,"",OFFSET(Metabólica!$D$17,,MATCH(P$2,Metabólica!$E$1:$AH$1,0)))</f>
        <v>64</v>
      </c>
      <c r="Q140" s="32">
        <f t="shared" ref="Q140:Q141" ca="1" si="145">IF(OR(P140="",R140=""),"-",(R140-P140)*100/P140)</f>
        <v>-15.625</v>
      </c>
      <c r="R140" s="15">
        <f ca="1">IF(R$138,"",OFFSET(Metabólica!$D$17,,MATCH(R$2,Metabólica!$E$1:$AH$1,0)))</f>
        <v>54</v>
      </c>
      <c r="S140" s="32">
        <f t="shared" ref="S140:S141" ca="1" si="146">IF(OR(R140="",T140=""),"-",(T140-R140)*100/R140)</f>
        <v>-11.111111111111111</v>
      </c>
      <c r="T140" s="15">
        <f ca="1">IF(T$138,"",OFFSET(Metabólica!$D$17,,MATCH(T$2,Metabólica!$E$1:$AH$1,0)))</f>
        <v>48</v>
      </c>
      <c r="U140" s="32">
        <f t="shared" ref="U140:U141" ca="1" si="147">IF(OR(T140="",V140=""),"-",(V140-T140)*100/T140)</f>
        <v>6.25</v>
      </c>
      <c r="V140" s="15">
        <f ca="1">IF(V$138,"",OFFSET(Metabólica!$D$17,,MATCH(V$2,Metabólica!$E$1:$AH$1,0)))</f>
        <v>51</v>
      </c>
      <c r="W140" s="32" t="str">
        <f t="shared" ref="W140:W141" ca="1" si="148">IF(OR(V140="",X140=""),"-",(X140-V140)*100/V140)</f>
        <v>-</v>
      </c>
      <c r="X140" s="15" t="str">
        <f ca="1">IF(X$138,"",OFFSET(Metabólica!$D$17,,MATCH(X$2,Metabólica!$E$1:$AH$1,0)))</f>
        <v/>
      </c>
      <c r="Y140" s="32" t="str">
        <f t="shared" ref="Y140:Y141" ca="1" si="149">IF(OR(X140="",Z140=""),"-",(Z140-X140)*100/X140)</f>
        <v>-</v>
      </c>
      <c r="Z140" s="15" t="str">
        <f ca="1">IF(Z$138,"",OFFSET(Metabólica!$D$17,,MATCH(Z$2,Metabólica!$E$1:$AH$1,0)))</f>
        <v/>
      </c>
      <c r="AA140" s="32" t="str">
        <f t="shared" ref="AA140:AA141" ca="1" si="150">IF(OR(Z140="",AB140=""),"-",(AB140-Z140)*100/Z140)</f>
        <v>-</v>
      </c>
      <c r="AB140" s="15" t="str">
        <f ca="1">IF(AB$138,"",OFFSET(Metabólica!$D$17,,MATCH(AB$2,Metabólica!$E$1:$AH$1,0)))</f>
        <v/>
      </c>
      <c r="AC140" s="32" t="str">
        <f t="shared" ref="AC140:AC141" ca="1" si="151">IF(OR(AB140="",AD140=""),"-",(AD140-AB140)*100/AB140)</f>
        <v>-</v>
      </c>
      <c r="AD140" s="15" t="str">
        <f ca="1">IF(AD$138,"",OFFSET(Metabólica!$D$17,,MATCH(AD$2,Metabólica!$E$1:$AH$1,0)))</f>
        <v/>
      </c>
      <c r="AE140" s="32" t="str">
        <f t="shared" ref="AE140:AE141" ca="1" si="152">IF(OR(AD140="",AF140=""),"-",(AF140-AD140)*100/AD140)</f>
        <v>-</v>
      </c>
      <c r="AF140" s="15" t="str">
        <f ca="1">IF(AF$138,"",OFFSET(Metabólica!$D$17,,MATCH(AF$2,Metabólica!$E$1:$AH$1,0)))</f>
        <v/>
      </c>
    </row>
    <row r="141" spans="1:32" ht="14.25" outlineLevel="1">
      <c r="A141" s="302" t="s">
        <v>192</v>
      </c>
      <c r="B141" s="294"/>
      <c r="C141" s="30" t="e">
        <f ca="1">'BD tratado'!D138</f>
        <v>#NAME?</v>
      </c>
      <c r="D141" s="15">
        <v>42.3</v>
      </c>
      <c r="E141" s="32">
        <f t="shared" si="139"/>
        <v>21.5130023640662</v>
      </c>
      <c r="F141" s="15">
        <v>51.4</v>
      </c>
      <c r="G141" s="32">
        <f t="shared" si="140"/>
        <v>11.673151750972764</v>
      </c>
      <c r="H141" s="15">
        <v>57.4</v>
      </c>
      <c r="I141" s="32">
        <f t="shared" ca="1" si="141"/>
        <v>-1.3937282229965107</v>
      </c>
      <c r="J141" s="15">
        <f ca="1">IF(J$138,"",OFFSET(Metabólica!$D$73,,MATCH(J$2,Metabólica!$E$1:$AH$1,0)))</f>
        <v>56.6</v>
      </c>
      <c r="K141" s="32">
        <f t="shared" ca="1" si="142"/>
        <v>1.4134275618374508</v>
      </c>
      <c r="L141" s="15">
        <f ca="1">IF(L$138,"",OFFSET(Metabólica!$D$73,,MATCH(L$2,Metabólica!$E$1:$AH$1,0)))</f>
        <v>57.4</v>
      </c>
      <c r="M141" s="32">
        <f t="shared" ca="1" si="143"/>
        <v>5.3310104529616762</v>
      </c>
      <c r="N141" s="15">
        <f ca="1">IF(N$138,"",OFFSET(Metabólica!$D$73,,MATCH(N$2,Metabólica!$E$1:$AH$1,0)))</f>
        <v>60.46</v>
      </c>
      <c r="O141" s="32">
        <f t="shared" ca="1" si="144"/>
        <v>0</v>
      </c>
      <c r="P141" s="15">
        <f ca="1">IF(P$138,"",OFFSET(Metabólica!$D$73,,MATCH(P$2,Metabólica!$E$1:$AH$1,0)))</f>
        <v>60.46</v>
      </c>
      <c r="Q141" s="32">
        <f t="shared" ca="1" si="145"/>
        <v>-4.9950380416804556</v>
      </c>
      <c r="R141" s="15">
        <f ca="1">IF(R$138,"",OFFSET(Metabólica!$D$73,,MATCH(R$2,Metabólica!$E$1:$AH$1,0)))</f>
        <v>57.44</v>
      </c>
      <c r="S141" s="32" t="e">
        <f t="shared" ca="1" si="146"/>
        <v>#NAME?</v>
      </c>
      <c r="T141" s="30" t="e">
        <f ca="1">IF(T$138,"",OFFSET(Metabólica!$D$73,,MATCH(T$2,Metabólica!$E$1:$AH$1,0)))</f>
        <v>#NAME?</v>
      </c>
      <c r="U141" s="32" t="e">
        <f t="shared" ca="1" si="147"/>
        <v>#NAME?</v>
      </c>
      <c r="V141" s="15">
        <f ca="1">IF(V$138,"",OFFSET(Metabólica!$D$73,,MATCH(V$2,Metabólica!$E$1:$AH$1,0)))</f>
        <v>60.46</v>
      </c>
      <c r="W141" s="32" t="str">
        <f t="shared" ca="1" si="148"/>
        <v>-</v>
      </c>
      <c r="X141" s="15" t="str">
        <f ca="1">IF(X$138,"",OFFSET(Metabólica!$D$73,,MATCH(X$2,Metabólica!$E$1:$AH$1,0)))</f>
        <v/>
      </c>
      <c r="Y141" s="32" t="str">
        <f t="shared" ca="1" si="149"/>
        <v>-</v>
      </c>
      <c r="Z141" s="15" t="str">
        <f ca="1">IF(Z$138,"",OFFSET(Metabólica!$D$73,,MATCH(Z$2,Metabólica!$E$1:$AH$1,0)))</f>
        <v/>
      </c>
      <c r="AA141" s="32" t="str">
        <f t="shared" ca="1" si="150"/>
        <v>-</v>
      </c>
      <c r="AB141" s="15" t="str">
        <f ca="1">IF(AB$138,"",OFFSET(Metabólica!$D$73,,MATCH(AB$2,Metabólica!$E$1:$AH$1,0)))</f>
        <v/>
      </c>
      <c r="AC141" s="32" t="str">
        <f t="shared" ca="1" si="151"/>
        <v>-</v>
      </c>
      <c r="AD141" s="15" t="str">
        <f ca="1">IF(AD$138,"",OFFSET(Metabólica!$D$73,,MATCH(AD$2,Metabólica!$E$1:$AH$1,0)))</f>
        <v/>
      </c>
      <c r="AE141" s="32" t="str">
        <f t="shared" ca="1" si="152"/>
        <v>-</v>
      </c>
      <c r="AF141" s="15" t="str">
        <f ca="1">IF(AF$138,"",OFFSET(Metabólica!$D$73,,MATCH(AF$2,Metabólica!$E$1:$AH$1,0)))</f>
        <v/>
      </c>
    </row>
    <row r="142" spans="1:32" ht="14.25" outlineLevel="1">
      <c r="A142" s="311" t="s">
        <v>193</v>
      </c>
      <c r="B142" s="294"/>
      <c r="C142" s="36" t="e">
        <f ca="1">'BD tratado'!D139</f>
        <v>#NAME?</v>
      </c>
      <c r="D142" s="15" t="str">
        <f>IF(D$138,"",Graficos!B229)</f>
        <v/>
      </c>
      <c r="E142" s="32"/>
      <c r="F142" s="15" t="str">
        <f>IF(F$138,"",Graficos!C229)</f>
        <v/>
      </c>
      <c r="G142" s="32"/>
      <c r="H142" s="15" t="str">
        <f>IF(H$138,"",Graficos!D229)</f>
        <v/>
      </c>
      <c r="I142" s="32"/>
      <c r="J142" s="40" t="str">
        <f ca="1">IF(J$138,"",Graficos!E229)</f>
        <v>Superior</v>
      </c>
      <c r="K142" s="32"/>
      <c r="L142" s="40" t="str">
        <f ca="1">IF(L$138,"",Graficos!F229)</f>
        <v>Superior</v>
      </c>
      <c r="M142" s="32"/>
      <c r="N142" s="40" t="str">
        <f ca="1">IF(N$138,"",Graficos!G229)</f>
        <v>Superior</v>
      </c>
      <c r="O142" s="32"/>
      <c r="P142" s="40" t="str">
        <f ca="1">IF(P$138,"",Graficos!H229)</f>
        <v>Superior</v>
      </c>
      <c r="Q142" s="32"/>
      <c r="R142" s="40" t="str">
        <f ca="1">IF(R$138,"",Graficos!I229)</f>
        <v>Superior</v>
      </c>
      <c r="S142" s="32"/>
      <c r="T142" s="40" t="e">
        <f ca="1">IF(T$138,"",Graficos!J229)</f>
        <v>#NAME?</v>
      </c>
      <c r="U142" s="32"/>
      <c r="V142" s="40" t="str">
        <f ca="1">IF(V$138,"",Graficos!K229)</f>
        <v>Superior</v>
      </c>
      <c r="W142" s="32"/>
      <c r="X142" s="15" t="str">
        <f>IF(X$138,"",Graficos!L229)</f>
        <v/>
      </c>
      <c r="Y142" s="32"/>
      <c r="Z142" s="15" t="str">
        <f>IF(Z$138,"",Graficos!M229)</f>
        <v/>
      </c>
      <c r="AA142" s="32"/>
      <c r="AB142" s="15" t="str">
        <f>IF(AB$138,"",Graficos!N229)</f>
        <v/>
      </c>
      <c r="AC142" s="32"/>
      <c r="AD142" s="15" t="str">
        <f>IF(AD$138,"",Graficos!O229)</f>
        <v/>
      </c>
      <c r="AE142" s="32"/>
      <c r="AF142" s="15" t="str">
        <f>IF(AF$138,"",Graficos!P229)</f>
        <v/>
      </c>
    </row>
    <row r="143" spans="1:32" ht="14.25" outlineLevel="1">
      <c r="A143" s="302" t="s">
        <v>194</v>
      </c>
      <c r="B143" s="294"/>
      <c r="C143" s="30" t="e">
        <f ca="1">'BD tratado'!D140</f>
        <v>#NAME?</v>
      </c>
      <c r="D143" s="15">
        <v>147</v>
      </c>
      <c r="E143" s="32">
        <f t="shared" ref="E143:E148" si="153">IF(OR(D143="",F143=""),"-",(F143-D143)*100/D143)</f>
        <v>-5.7823129251700678</v>
      </c>
      <c r="F143" s="15">
        <v>138.5</v>
      </c>
      <c r="G143" s="32">
        <f t="shared" ref="G143:G148" si="154">IF(OR(F143="",H143=""),"-",(H143-F143)*100/F143)</f>
        <v>-1.0830324909747293</v>
      </c>
      <c r="H143" s="15">
        <v>137</v>
      </c>
      <c r="I143" s="32">
        <f t="shared" ref="I143:I148" ca="1" si="155">IF(OR(H143="",J143=""),"-",(J143-H143)*100/H143)</f>
        <v>4.3795620437956204</v>
      </c>
      <c r="J143" s="15">
        <f ca="1">IF(J$138,"",OFFSET(Metabólica!$D$74,,MATCH(J$2,Metabólica!$E$1:$AH$1,0)))</f>
        <v>143</v>
      </c>
      <c r="K143" s="32">
        <f t="shared" ref="K143:K148" ca="1" si="156">IF(OR(J143="",L143=""),"-",(L143-J143)*100/J143)</f>
        <v>3.4965034965034967</v>
      </c>
      <c r="L143" s="15">
        <f ca="1">IF(L$138,"",OFFSET(Metabólica!$D$74,,MATCH(L$2,Metabólica!$E$1:$AH$1,0)))</f>
        <v>148</v>
      </c>
      <c r="M143" s="32">
        <f t="shared" ref="M143:M148" ca="1" si="157">IF(OR(L143="",N143=""),"-",(N143-L143)*100/L143)</f>
        <v>-3.1756756756756679</v>
      </c>
      <c r="N143" s="40">
        <f ca="1">IF(N$138,"",OFFSET(Metabólica!$D$74,,MATCH(N$2,Metabólica!$E$1:$AH$1,0)))</f>
        <v>143.30000000000001</v>
      </c>
      <c r="O143" s="32">
        <f t="shared" ref="O143:O148" ca="1" si="158">IF(OR(N143="",P143=""),"-",(P143-N143)*100/N143)</f>
        <v>8.1646894626657271</v>
      </c>
      <c r="P143" s="15">
        <f ca="1">IF(P$138,"",OFFSET(Metabólica!$D$74,,MATCH(P$2,Metabólica!$E$1:$AH$1,0)))</f>
        <v>155</v>
      </c>
      <c r="Q143" s="32">
        <f t="shared" ref="Q143:Q148" ca="1" si="159">IF(OR(P143="",R143=""),"-",(R143-P143)*100/P143)</f>
        <v>-5.161290322580645</v>
      </c>
      <c r="R143" s="15">
        <f ca="1">IF(R$138,"",OFFSET(Metabólica!$D$74,,MATCH(R$2,Metabólica!$E$1:$AH$1,0)))</f>
        <v>147</v>
      </c>
      <c r="S143" s="32">
        <f t="shared" ref="S143:S148" ca="1" si="160">IF(OR(R143="",T143=""),"-",(T143-R143)*100/R143)</f>
        <v>-7.7891156462584954</v>
      </c>
      <c r="T143" s="40">
        <f ca="1">IF(T$138,"",OFFSET(Metabólica!$D$74,,MATCH(T$2,Metabólica!$E$1:$AH$1,0)))</f>
        <v>135.55000000000001</v>
      </c>
      <c r="U143" s="32">
        <f t="shared" ref="U143:U148" ca="1" si="161">IF(OR(T143="",V143=""),"-",(V143-T143)*100/T143)</f>
        <v>1.8074511250460998</v>
      </c>
      <c r="V143" s="15">
        <f ca="1">IF(V$138,"",OFFSET(Metabólica!$D$74,,MATCH(V$2,Metabólica!$E$1:$AH$1,0)))</f>
        <v>138</v>
      </c>
      <c r="W143" s="32" t="str">
        <f t="shared" ref="W143:W148" ca="1" si="162">IF(OR(V143="",X143=""),"-",(X143-V143)*100/V143)</f>
        <v>-</v>
      </c>
      <c r="X143" s="15" t="str">
        <f ca="1">IF(X$138,"",OFFSET(Metabólica!$D$74,,MATCH(X$2,Metabólica!$E$1:$AH$1,0)))</f>
        <v/>
      </c>
      <c r="Y143" s="32" t="str">
        <f t="shared" ref="Y143:Y148" ca="1" si="163">IF(OR(X143="",Z143=""),"-",(Z143-X143)*100/X143)</f>
        <v>-</v>
      </c>
      <c r="Z143" s="15" t="str">
        <f ca="1">IF(Z$138,"",OFFSET(Metabólica!$D$74,,MATCH(Z$2,Metabólica!$E$1:$AH$1,0)))</f>
        <v/>
      </c>
      <c r="AA143" s="32" t="str">
        <f t="shared" ref="AA143:AA148" ca="1" si="164">IF(OR(Z143="",AB143=""),"-",(AB143-Z143)*100/Z143)</f>
        <v>-</v>
      </c>
      <c r="AB143" s="15" t="str">
        <f ca="1">IF(AB$138,"",OFFSET(Metabólica!$D$74,,MATCH(AB$2,Metabólica!$E$1:$AH$1,0)))</f>
        <v/>
      </c>
      <c r="AC143" s="32" t="str">
        <f t="shared" ref="AC143:AC148" ca="1" si="165">IF(OR(AB143="",AD143=""),"-",(AD143-AB143)*100/AB143)</f>
        <v>-</v>
      </c>
      <c r="AD143" s="15" t="str">
        <f ca="1">IF(AD$138,"",OFFSET(Metabólica!$D$74,,MATCH(AD$2,Metabólica!$E$1:$AH$1,0)))</f>
        <v/>
      </c>
      <c r="AE143" s="32" t="str">
        <f t="shared" ref="AE143:AE148" ca="1" si="166">IF(OR(AD143="",AF143=""),"-",(AF143-AD143)*100/AD143)</f>
        <v>-</v>
      </c>
      <c r="AF143" s="15" t="str">
        <f ca="1">IF(AF$138,"",OFFSET(Metabólica!$D$74,,MATCH(AF$2,Metabólica!$E$1:$AH$1,0)))</f>
        <v/>
      </c>
    </row>
    <row r="144" spans="1:32" ht="14.25" outlineLevel="1">
      <c r="A144" s="302" t="s">
        <v>195</v>
      </c>
      <c r="B144" s="294"/>
      <c r="C144" s="30" t="e">
        <f ca="1">'BD tratado'!D141</f>
        <v>#NAME?</v>
      </c>
      <c r="D144" s="15">
        <v>10</v>
      </c>
      <c r="E144" s="32">
        <f t="shared" si="153"/>
        <v>30</v>
      </c>
      <c r="F144" s="15">
        <v>13</v>
      </c>
      <c r="G144" s="32">
        <f t="shared" si="154"/>
        <v>7.6923076923076925</v>
      </c>
      <c r="H144" s="15">
        <v>14</v>
      </c>
      <c r="I144" s="32" t="e">
        <f t="shared" ca="1" si="155"/>
        <v>#NAME?</v>
      </c>
      <c r="J144" s="33" t="e">
        <f ca="1">IF(J$138,"",OFFSET(Metabólica!$D$75,,MATCH(J$2,Metabólica!$E$1:$AH$1,0)))</f>
        <v>#NAME?</v>
      </c>
      <c r="K144" s="32" t="e">
        <f t="shared" ca="1" si="156"/>
        <v>#NAME?</v>
      </c>
      <c r="L144" s="15">
        <f ca="1">IF(L$138,"",OFFSET(Metabólica!$D$75,,MATCH(L$2,Metabólica!$E$1:$AH$1,0)))</f>
        <v>14</v>
      </c>
      <c r="M144" s="32" t="e">
        <f t="shared" ca="1" si="157"/>
        <v>#NAME?</v>
      </c>
      <c r="N144" s="33" t="e">
        <f ca="1">IF(N$138,"",OFFSET(Metabólica!$D$75,,MATCH(N$2,Metabólica!$E$1:$AH$1,0)))</f>
        <v>#NAME?</v>
      </c>
      <c r="O144" s="32" t="e">
        <f t="shared" ca="1" si="158"/>
        <v>#NAME?</v>
      </c>
      <c r="P144" s="15">
        <f ca="1">IF(P$138,"",OFFSET(Metabólica!$D$75,,MATCH(P$2,Metabólica!$E$1:$AH$1,0)))</f>
        <v>16</v>
      </c>
      <c r="Q144" s="32">
        <f t="shared" ca="1" si="159"/>
        <v>-6.25</v>
      </c>
      <c r="R144" s="15">
        <f ca="1">IF(R$138,"",OFFSET(Metabólica!$D$75,,MATCH(R$2,Metabólica!$E$1:$AH$1,0)))</f>
        <v>15</v>
      </c>
      <c r="S144" s="32" t="e">
        <f t="shared" ca="1" si="160"/>
        <v>#NAME?</v>
      </c>
      <c r="T144" s="33" t="e">
        <f ca="1">IF(T$138,"",OFFSET(Metabólica!$D$75,,MATCH(T$2,Metabólica!$E$1:$AH$1,0)))</f>
        <v>#NAME?</v>
      </c>
      <c r="U144" s="32" t="e">
        <f t="shared" ca="1" si="161"/>
        <v>#NAME?</v>
      </c>
      <c r="V144" s="15">
        <f ca="1">IF(V$138,"",OFFSET(Metabólica!$D$75,,MATCH(V$2,Metabólica!$E$1:$AH$1,0)))</f>
        <v>15</v>
      </c>
      <c r="W144" s="32" t="str">
        <f t="shared" ca="1" si="162"/>
        <v>-</v>
      </c>
      <c r="X144" s="15" t="str">
        <f ca="1">IF(X$138,"",OFFSET(Metabólica!$D$75,,MATCH(X$2,Metabólica!$E$1:$AH$1,0)))</f>
        <v/>
      </c>
      <c r="Y144" s="32" t="str">
        <f t="shared" ca="1" si="163"/>
        <v>-</v>
      </c>
      <c r="Z144" s="15" t="str">
        <f ca="1">IF(Z$138,"",OFFSET(Metabólica!$D$75,,MATCH(Z$2,Metabólica!$E$1:$AH$1,0)))</f>
        <v/>
      </c>
      <c r="AA144" s="32" t="str">
        <f t="shared" ca="1" si="164"/>
        <v>-</v>
      </c>
      <c r="AB144" s="15" t="str">
        <f ca="1">IF(AB$138,"",OFFSET(Metabólica!$D$75,,MATCH(AB$2,Metabólica!$E$1:$AH$1,0)))</f>
        <v/>
      </c>
      <c r="AC144" s="32" t="str">
        <f t="shared" ca="1" si="165"/>
        <v>-</v>
      </c>
      <c r="AD144" s="15" t="str">
        <f ca="1">IF(AD$138,"",OFFSET(Metabólica!$D$75,,MATCH(AD$2,Metabólica!$E$1:$AH$1,0)))</f>
        <v/>
      </c>
      <c r="AE144" s="32" t="str">
        <f t="shared" ca="1" si="166"/>
        <v>-</v>
      </c>
      <c r="AF144" s="15" t="str">
        <f ca="1">IF(AF$138,"",OFFSET(Metabólica!$D$75,,MATCH(AF$2,Metabólica!$E$1:$AH$1,0)))</f>
        <v/>
      </c>
    </row>
    <row r="145" spans="1:32" ht="14.25" outlineLevel="1">
      <c r="A145" s="302" t="s">
        <v>196</v>
      </c>
      <c r="B145" s="294"/>
      <c r="C145" s="30" t="e">
        <f ca="1">'BD tratado'!D142</f>
        <v>#NAME?</v>
      </c>
      <c r="D145" s="33">
        <v>6</v>
      </c>
      <c r="E145" s="32">
        <f t="shared" si="153"/>
        <v>-23.333333333333339</v>
      </c>
      <c r="F145" s="33">
        <v>4.5999999999999996</v>
      </c>
      <c r="G145" s="32">
        <f t="shared" si="154"/>
        <v>-6.5217391304347796</v>
      </c>
      <c r="H145" s="33">
        <v>4.3</v>
      </c>
      <c r="I145" s="32" t="e">
        <f t="shared" ca="1" si="155"/>
        <v>#NAME?</v>
      </c>
      <c r="J145" s="33" t="e">
        <f ca="1">IF(J$138,"",OFFSET(Metabólica!$D$76,,MATCH(J$2,Metabólica!$E$1:$AH$1,0)))</f>
        <v>#NAME?</v>
      </c>
      <c r="K145" s="32" t="e">
        <f t="shared" ca="1" si="156"/>
        <v>#NAME?</v>
      </c>
      <c r="L145" s="33">
        <f ca="1">IF(L$138,"",OFFSET(Metabólica!$D$76,,MATCH(L$2,Metabólica!$E$1:$AH$1,0)))</f>
        <v>4.2857142857142856</v>
      </c>
      <c r="M145" s="32" t="e">
        <f t="shared" ca="1" si="157"/>
        <v>#NAME?</v>
      </c>
      <c r="N145" s="33" t="e">
        <f ca="1">IF(N$138,"",OFFSET(Metabólica!$D$76,,MATCH(N$2,Metabólica!$E$1:$AH$1,0)))</f>
        <v>#NAME?</v>
      </c>
      <c r="O145" s="32" t="e">
        <f t="shared" ca="1" si="158"/>
        <v>#NAME?</v>
      </c>
      <c r="P145" s="33">
        <f ca="1">IF(P$138,"",OFFSET(Metabólica!$D$76,,MATCH(P$2,Metabólica!$E$1:$AH$1,0)))</f>
        <v>3.75</v>
      </c>
      <c r="Q145" s="32">
        <f t="shared" ca="1" si="159"/>
        <v>6.666666666666667</v>
      </c>
      <c r="R145" s="33">
        <f ca="1">IF(R$138,"",OFFSET(Metabólica!$D$76,,MATCH(R$2,Metabólica!$E$1:$AH$1,0)))</f>
        <v>4</v>
      </c>
      <c r="S145" s="32" t="e">
        <f t="shared" ca="1" si="160"/>
        <v>#NAME?</v>
      </c>
      <c r="T145" s="33" t="e">
        <f ca="1">IF(T$138,"",OFFSET(Metabólica!$D$76,,MATCH(T$2,Metabólica!$E$1:$AH$1,0)))</f>
        <v>#NAME?</v>
      </c>
      <c r="U145" s="32" t="e">
        <f t="shared" ca="1" si="161"/>
        <v>#NAME?</v>
      </c>
      <c r="V145" s="33">
        <f ca="1">IF(V$138,"",OFFSET(Metabólica!$D$76,,MATCH(V$2,Metabólica!$E$1:$AH$1,0)))</f>
        <v>4</v>
      </c>
      <c r="W145" s="32" t="str">
        <f t="shared" ca="1" si="162"/>
        <v>-</v>
      </c>
      <c r="X145" s="33" t="str">
        <f ca="1">IF(X$138,"",OFFSET(Metabólica!$D$76,,MATCH(X$2,Metabólica!$E$1:$AH$1,0)))</f>
        <v/>
      </c>
      <c r="Y145" s="32" t="str">
        <f t="shared" ca="1" si="163"/>
        <v>-</v>
      </c>
      <c r="Z145" s="33" t="str">
        <f ca="1">IF(Z$138,"",OFFSET(Metabólica!$D$76,,MATCH(Z$2,Metabólica!$E$1:$AH$1,0)))</f>
        <v/>
      </c>
      <c r="AA145" s="32" t="str">
        <f t="shared" ca="1" si="164"/>
        <v>-</v>
      </c>
      <c r="AB145" s="33" t="str">
        <f ca="1">IF(AB$138,"",OFFSET(Metabólica!$D$76,,MATCH(AB$2,Metabólica!$E$1:$AH$1,0)))</f>
        <v/>
      </c>
      <c r="AC145" s="32" t="str">
        <f t="shared" ca="1" si="165"/>
        <v>-</v>
      </c>
      <c r="AD145" s="33" t="str">
        <f ca="1">IF(AD$138,"",OFFSET(Metabólica!$D$76,,MATCH(AD$2,Metabólica!$E$1:$AH$1,0)))</f>
        <v/>
      </c>
      <c r="AE145" s="32" t="str">
        <f t="shared" ca="1" si="166"/>
        <v>-</v>
      </c>
      <c r="AF145" s="33" t="str">
        <f ca="1">IF(AF$138,"",OFFSET(Metabólica!$D$76,,MATCH(AF$2,Metabólica!$E$1:$AH$1,0)))</f>
        <v/>
      </c>
    </row>
    <row r="146" spans="1:32" ht="14.25" outlineLevel="1">
      <c r="A146" s="302" t="s">
        <v>197</v>
      </c>
      <c r="B146" s="294"/>
      <c r="C146" s="30" t="e">
        <f ca="1">'BD tratado'!D143</f>
        <v>#NAME?</v>
      </c>
      <c r="D146" s="15">
        <v>13</v>
      </c>
      <c r="E146" s="32">
        <f t="shared" si="153"/>
        <v>23.076923076923077</v>
      </c>
      <c r="F146" s="15">
        <v>16</v>
      </c>
      <c r="G146" s="32">
        <f t="shared" si="154"/>
        <v>6.25</v>
      </c>
      <c r="H146" s="15">
        <v>17</v>
      </c>
      <c r="I146" s="32" t="e">
        <f t="shared" ca="1" si="155"/>
        <v>#NAME?</v>
      </c>
      <c r="J146" s="15" t="e">
        <f ca="1">IF(J$138,"",OFFSET(Metabólica!$D$77,,MATCH(J$2,Metabólica!$E$1:$AH$1,0)))</f>
        <v>#NAME?</v>
      </c>
      <c r="K146" s="32" t="e">
        <f t="shared" ca="1" si="156"/>
        <v>#NAME?</v>
      </c>
      <c r="L146" s="15" t="e">
        <f ca="1">IF(L$138,"",OFFSET(Metabólica!$D$77,,MATCH(L$2,Metabólica!$E$1:$AH$1,0)))</f>
        <v>#NAME?</v>
      </c>
      <c r="M146" s="32" t="e">
        <f t="shared" ca="1" si="157"/>
        <v>#NAME?</v>
      </c>
      <c r="N146" s="15" t="e">
        <f ca="1">IF(N$138,"",OFFSET(Metabólica!$D$77,,MATCH(N$2,Metabólica!$E$1:$AH$1,0)))</f>
        <v>#NAME?</v>
      </c>
      <c r="O146" s="32" t="e">
        <f t="shared" ca="1" si="158"/>
        <v>#NAME?</v>
      </c>
      <c r="P146" s="15">
        <f ca="1">IF(P$138,"",OFFSET(Metabólica!$D$77,,MATCH(P$2,Metabólica!$E$1:$AH$1,0)))</f>
        <v>18</v>
      </c>
      <c r="Q146" s="32">
        <f t="shared" ca="1" si="159"/>
        <v>0</v>
      </c>
      <c r="R146" s="15">
        <f ca="1">IF(R$138,"",OFFSET(Metabólica!$D$77,,MATCH(R$2,Metabólica!$E$1:$AH$1,0)))</f>
        <v>18</v>
      </c>
      <c r="S146" s="32" t="e">
        <f t="shared" ca="1" si="160"/>
        <v>#NAME?</v>
      </c>
      <c r="T146" s="15" t="e">
        <f ca="1">IF(T$138,"",OFFSET(Metabólica!$D$77,,MATCH(T$2,Metabólica!$E$1:$AH$1,0)))</f>
        <v>#NAME?</v>
      </c>
      <c r="U146" s="32" t="e">
        <f t="shared" ca="1" si="161"/>
        <v>#NAME?</v>
      </c>
      <c r="V146" s="15">
        <f ca="1">IF(V$138,"",OFFSET(Metabólica!$D$77,,MATCH(V$2,Metabólica!$E$1:$AH$1,0)))</f>
        <v>19</v>
      </c>
      <c r="W146" s="32" t="str">
        <f t="shared" ca="1" si="162"/>
        <v>-</v>
      </c>
      <c r="X146" s="15" t="str">
        <f ca="1">IF(X$138,"",OFFSET(Metabólica!$D$77,,MATCH(X$2,Metabólica!$E$1:$AH$1,0)))</f>
        <v/>
      </c>
      <c r="Y146" s="32" t="str">
        <f t="shared" ca="1" si="163"/>
        <v>-</v>
      </c>
      <c r="Z146" s="15" t="str">
        <f ca="1">IF(Z$138,"",OFFSET(Metabólica!$D$77,,MATCH(Z$2,Metabólica!$E$1:$AH$1,0)))</f>
        <v/>
      </c>
      <c r="AA146" s="32" t="str">
        <f t="shared" ca="1" si="164"/>
        <v>-</v>
      </c>
      <c r="AB146" s="15" t="str">
        <f ca="1">IF(AB$138,"",OFFSET(Metabólica!$D$77,,MATCH(AB$2,Metabólica!$E$1:$AH$1,0)))</f>
        <v/>
      </c>
      <c r="AC146" s="32" t="str">
        <f t="shared" ca="1" si="165"/>
        <v>-</v>
      </c>
      <c r="AD146" s="15" t="str">
        <f ca="1">IF(AD$138,"",OFFSET(Metabólica!$D$77,,MATCH(AD$2,Metabólica!$E$1:$AH$1,0)))</f>
        <v/>
      </c>
      <c r="AE146" s="32" t="str">
        <f t="shared" ca="1" si="166"/>
        <v>-</v>
      </c>
      <c r="AF146" s="15" t="str">
        <f ca="1">IF(AF$138,"",OFFSET(Metabólica!$D$77,,MATCH(AF$2,Metabólica!$E$1:$AH$1,0)))</f>
        <v/>
      </c>
    </row>
    <row r="147" spans="1:32" ht="14.25" outlineLevel="1">
      <c r="A147" s="302" t="s">
        <v>198</v>
      </c>
      <c r="B147" s="294"/>
      <c r="C147" s="30" t="e">
        <f ca="1">'BD tratado'!D144</f>
        <v>#NAME?</v>
      </c>
      <c r="D147" s="40">
        <v>172.23500000000001</v>
      </c>
      <c r="E147" s="32">
        <f t="shared" si="153"/>
        <v>-0.39771242778761706</v>
      </c>
      <c r="F147" s="40">
        <v>171.55</v>
      </c>
      <c r="G147" s="32">
        <f t="shared" si="154"/>
        <v>0</v>
      </c>
      <c r="H147" s="40">
        <v>171.55</v>
      </c>
      <c r="I147" s="32">
        <f t="shared" si="155"/>
        <v>0</v>
      </c>
      <c r="J147" s="40">
        <f>IF(J$138,"",205.8-(0.685*J7))</f>
        <v>171.55</v>
      </c>
      <c r="K147" s="32">
        <f t="shared" si="156"/>
        <v>-0.39930049548236796</v>
      </c>
      <c r="L147" s="40">
        <f>IF(L$138,"",205.8-(0.685*L7))</f>
        <v>170.86500000000001</v>
      </c>
      <c r="M147" s="32">
        <f t="shared" si="157"/>
        <v>0</v>
      </c>
      <c r="N147" s="40">
        <f>IF(N$138,"",205.8-(0.685*N7))</f>
        <v>170.86500000000001</v>
      </c>
      <c r="O147" s="32">
        <f t="shared" si="158"/>
        <v>-0.40090129634506905</v>
      </c>
      <c r="P147" s="40">
        <f>IF(P$138,"",205.8-(0.685*P7))</f>
        <v>170.18</v>
      </c>
      <c r="Q147" s="32">
        <f t="shared" si="159"/>
        <v>0</v>
      </c>
      <c r="R147" s="40">
        <f>IF(R$138,"",205.8-(0.685*R7))</f>
        <v>170.18</v>
      </c>
      <c r="S147" s="32">
        <f t="shared" si="160"/>
        <v>-0.4025149841344472</v>
      </c>
      <c r="T147" s="40">
        <f>IF(T$138,"",205.8-(0.685*T7))</f>
        <v>169.495</v>
      </c>
      <c r="U147" s="32">
        <f t="shared" si="161"/>
        <v>0</v>
      </c>
      <c r="V147" s="40">
        <f>IF(V$138,"",205.8-(0.685*V7))</f>
        <v>169.495</v>
      </c>
      <c r="W147" s="32" t="str">
        <f t="shared" si="162"/>
        <v>-</v>
      </c>
      <c r="X147" s="40" t="str">
        <f>IF(X$138,"",205.8-(0.685*X7))</f>
        <v/>
      </c>
      <c r="Y147" s="32" t="str">
        <f t="shared" si="163"/>
        <v>-</v>
      </c>
      <c r="Z147" s="40" t="str">
        <f>IF(Z$138,"",205.8-(0.685*Z7))</f>
        <v/>
      </c>
      <c r="AA147" s="32" t="str">
        <f t="shared" si="164"/>
        <v>-</v>
      </c>
      <c r="AB147" s="40" t="str">
        <f>IF(AB$138,"",205.8-(0.685*AB7))</f>
        <v/>
      </c>
      <c r="AC147" s="32" t="str">
        <f t="shared" si="165"/>
        <v>-</v>
      </c>
      <c r="AD147" s="40" t="str">
        <f>IF(AD$138,"",205.8-(0.685*AD7))</f>
        <v/>
      </c>
      <c r="AE147" s="32" t="str">
        <f t="shared" si="166"/>
        <v>-</v>
      </c>
      <c r="AF147" s="40" t="str">
        <f>IF(AF$138,"",205.8-(0.685*AF7))</f>
        <v/>
      </c>
    </row>
    <row r="148" spans="1:32" ht="14.25" outlineLevel="1">
      <c r="A148" s="302" t="s">
        <v>199</v>
      </c>
      <c r="B148" s="294"/>
      <c r="C148" s="30" t="e">
        <f ca="1">'BD tratado'!D145</f>
        <v>#NAME?</v>
      </c>
      <c r="D148" s="15">
        <v>170</v>
      </c>
      <c r="E148" s="32">
        <f t="shared" si="153"/>
        <v>-8.8235294117647065</v>
      </c>
      <c r="F148" s="15">
        <v>155</v>
      </c>
      <c r="G148" s="32">
        <f t="shared" si="154"/>
        <v>0</v>
      </c>
      <c r="H148" s="15">
        <v>155</v>
      </c>
      <c r="I148" s="32">
        <f t="shared" ca="1" si="155"/>
        <v>0</v>
      </c>
      <c r="J148" s="15">
        <f ca="1">IF(J$138,"",OFFSET(Metabólica!$D$80,,MATCH(J$2,Metabólica!$E$1:$AH$1,0)))</f>
        <v>155</v>
      </c>
      <c r="K148" s="32">
        <f t="shared" ca="1" si="156"/>
        <v>5.806451612903226</v>
      </c>
      <c r="L148" s="15">
        <f ca="1">IF(L$138,"",OFFSET(Metabólica!$D$80,,MATCH(L$2,Metabólica!$E$1:$AH$1,0)))</f>
        <v>164</v>
      </c>
      <c r="M148" s="32">
        <f t="shared" ca="1" si="157"/>
        <v>-3.6585365853658538</v>
      </c>
      <c r="N148" s="15">
        <f ca="1">IF(N$138,"",OFFSET(Metabólica!$D$80,,MATCH(N$2,Metabólica!$E$1:$AH$1,0)))</f>
        <v>158</v>
      </c>
      <c r="O148" s="32">
        <f t="shared" ca="1" si="158"/>
        <v>2.5316455696202533</v>
      </c>
      <c r="P148" s="15">
        <f ca="1">IF(P$138,"",OFFSET(Metabólica!$D$80,,MATCH(P$2,Metabólica!$E$1:$AH$1,0)))</f>
        <v>162</v>
      </c>
      <c r="Q148" s="32">
        <f t="shared" ca="1" si="159"/>
        <v>0</v>
      </c>
      <c r="R148" s="15">
        <f ca="1">IF(R$138,"",OFFSET(Metabólica!$D$80,,MATCH(R$2,Metabólica!$E$1:$AH$1,0)))</f>
        <v>162</v>
      </c>
      <c r="S148" s="32">
        <f t="shared" ca="1" si="160"/>
        <v>-6.7901234567901234</v>
      </c>
      <c r="T148" s="15">
        <f ca="1">IF(T$138,"",OFFSET(Metabólica!$D$80,,MATCH(T$2,Metabólica!$E$1:$AH$1,0)))</f>
        <v>151</v>
      </c>
      <c r="U148" s="32">
        <f t="shared" ca="1" si="161"/>
        <v>-0.66225165562913912</v>
      </c>
      <c r="V148" s="15">
        <f ca="1">IF(V$138,"",OFFSET(Metabólica!$D$80,,MATCH(V$2,Metabólica!$E$1:$AH$1,0)))</f>
        <v>150</v>
      </c>
      <c r="W148" s="32" t="str">
        <f t="shared" ca="1" si="162"/>
        <v>-</v>
      </c>
      <c r="X148" s="15" t="str">
        <f ca="1">IF(X$138,"",OFFSET(Metabólica!$D$80,,MATCH(X$2,Metabólica!$E$1:$AH$1,0)))</f>
        <v/>
      </c>
      <c r="Y148" s="32" t="str">
        <f t="shared" ca="1" si="163"/>
        <v>-</v>
      </c>
      <c r="Z148" s="15" t="str">
        <f ca="1">IF(Z$138,"",OFFSET(Metabólica!$D$80,,MATCH(Z$2,Metabólica!$E$1:$AH$1,0)))</f>
        <v/>
      </c>
      <c r="AA148" s="32" t="str">
        <f t="shared" ca="1" si="164"/>
        <v>-</v>
      </c>
      <c r="AB148" s="15" t="str">
        <f ca="1">IF(AB$138,"",OFFSET(Metabólica!$D$80,,MATCH(AB$2,Metabólica!$E$1:$AH$1,0)))</f>
        <v/>
      </c>
      <c r="AC148" s="32" t="str">
        <f t="shared" ca="1" si="165"/>
        <v>-</v>
      </c>
      <c r="AD148" s="15" t="str">
        <f ca="1">IF(AD$138,"",OFFSET(Metabólica!$D$80,,MATCH(AD$2,Metabólica!$E$1:$AH$1,0)))</f>
        <v/>
      </c>
      <c r="AE148" s="32" t="str">
        <f t="shared" ca="1" si="166"/>
        <v>-</v>
      </c>
      <c r="AF148" s="15" t="str">
        <f ca="1">IF(AF$138,"",OFFSET(Metabólica!$D$80,,MATCH(AF$2,Metabólica!$E$1:$AH$1,0)))</f>
        <v/>
      </c>
    </row>
    <row r="149" spans="1:32" ht="14.25">
      <c r="A149" s="303" t="s">
        <v>200</v>
      </c>
      <c r="B149" s="294"/>
      <c r="C149" s="15"/>
      <c r="D149" s="15"/>
      <c r="E149" s="32"/>
      <c r="F149" s="15"/>
      <c r="G149" s="32"/>
      <c r="H149" s="15"/>
      <c r="I149" s="32"/>
      <c r="J149" s="15"/>
      <c r="K149" s="32"/>
      <c r="L149" s="15"/>
      <c r="M149" s="32"/>
      <c r="N149" s="15"/>
      <c r="O149" s="32"/>
      <c r="P149" s="15"/>
      <c r="Q149" s="32"/>
      <c r="R149" s="15"/>
      <c r="S149" s="32"/>
      <c r="T149" s="15"/>
      <c r="U149" s="32"/>
      <c r="V149" s="15"/>
      <c r="W149" s="32"/>
      <c r="X149" s="15"/>
      <c r="Y149" s="32"/>
      <c r="Z149" s="15"/>
      <c r="AA149" s="32"/>
      <c r="AB149" s="15"/>
      <c r="AC149" s="32"/>
      <c r="AD149" s="15"/>
      <c r="AE149" s="32"/>
      <c r="AF149" s="15"/>
    </row>
    <row r="150" spans="1:32" ht="14.25" outlineLevel="1">
      <c r="A150" s="308" t="s">
        <v>201</v>
      </c>
      <c r="B150" s="294"/>
      <c r="C150" s="30" t="e">
        <f ca="1">'BD tratado'!D157</f>
        <v>#NAME?</v>
      </c>
      <c r="D150" s="31"/>
      <c r="E150" s="32" t="str">
        <f t="shared" ref="E150:E159" si="167">IF(OR(D150="",F150=""),"-",(F150-D150)*100/D150)</f>
        <v>-</v>
      </c>
      <c r="F150" s="31"/>
      <c r="G150" s="32" t="str">
        <f t="shared" ref="G150:G159" si="168">IF(OR(F150="",H150=""),"-",(H150-F150)*100/F150)</f>
        <v>-</v>
      </c>
      <c r="H150" s="31"/>
      <c r="I150" s="32" t="str">
        <f t="shared" ref="I150:I159" si="169">IF(OR(H150="",J150=""),"-",(J150-H150)*100/H150)</f>
        <v>-</v>
      </c>
      <c r="J150" s="31"/>
      <c r="K150" s="32" t="str">
        <f t="shared" ref="K150:K159" si="170">IF(OR(J150="",L150=""),"-",(L150-J150)*100/J150)</f>
        <v>-</v>
      </c>
      <c r="L150" s="31"/>
      <c r="M150" s="32" t="str">
        <f t="shared" ref="M150:M159" si="171">IF(OR(L150="",N150=""),"-",(N150-L150)*100/L150)</f>
        <v>-</v>
      </c>
      <c r="N150" s="31"/>
      <c r="O150" s="32" t="str">
        <f t="shared" ref="O150:O159" si="172">IF(OR(N150="",P150=""),"-",(P150-N150)*100/N150)</f>
        <v>-</v>
      </c>
      <c r="P150" s="31"/>
      <c r="Q150" s="32" t="str">
        <f t="shared" ref="Q150:Q159" si="173">IF(OR(P150="",R150=""),"-",(R150-P150)*100/P150)</f>
        <v>-</v>
      </c>
      <c r="R150" s="31"/>
      <c r="S150" s="32" t="str">
        <f t="shared" ref="S150:S159" si="174">IF(OR(R150="",T150=""),"-",(T150-R150)*100/R150)</f>
        <v>-</v>
      </c>
      <c r="T150" s="31"/>
      <c r="U150" s="32" t="str">
        <f t="shared" ref="U150:U159" si="175">IF(OR(T150="",V150=""),"-",(V150-T150)*100/T150)</f>
        <v>-</v>
      </c>
      <c r="V150" s="31"/>
      <c r="W150" s="32" t="str">
        <f t="shared" ref="W150:W159" si="176">IF(OR(V150="",X150=""),"-",(X150-V150)*100/V150)</f>
        <v>-</v>
      </c>
      <c r="X150" s="31"/>
      <c r="Y150" s="32" t="str">
        <f t="shared" ref="Y150:Y159" si="177">IF(OR(X150="",Z150=""),"-",(Z150-X150)*100/X150)</f>
        <v>-</v>
      </c>
      <c r="Z150" s="31"/>
      <c r="AA150" s="32" t="str">
        <f t="shared" ref="AA150:AA159" si="178">IF(OR(Z150="",AB150=""),"-",(AB150-Z150)*100/Z150)</f>
        <v>-</v>
      </c>
      <c r="AB150" s="31"/>
      <c r="AC150" s="32" t="str">
        <f t="shared" ref="AC150:AC159" si="179">IF(OR(AB150="",AD150=""),"-",(AD150-AB150)*100/AB150)</f>
        <v>-</v>
      </c>
      <c r="AD150" s="31"/>
      <c r="AE150" s="32" t="str">
        <f t="shared" ref="AE150:AE159" si="180">IF(OR(AD150="",AF150=""),"-",(AF150-AD150)*100/AD150)</f>
        <v>-</v>
      </c>
      <c r="AF150" s="31"/>
    </row>
    <row r="151" spans="1:32" ht="14.25" outlineLevel="1">
      <c r="A151" s="308" t="s">
        <v>202</v>
      </c>
      <c r="B151" s="294"/>
      <c r="C151" s="30" t="e">
        <f ca="1">'BD tratado'!D158</f>
        <v>#NAME?</v>
      </c>
      <c r="D151" s="31"/>
      <c r="E151" s="32" t="str">
        <f t="shared" si="167"/>
        <v>-</v>
      </c>
      <c r="F151" s="31"/>
      <c r="G151" s="32" t="str">
        <f t="shared" si="168"/>
        <v>-</v>
      </c>
      <c r="H151" s="31"/>
      <c r="I151" s="32" t="str">
        <f t="shared" si="169"/>
        <v>-</v>
      </c>
      <c r="J151" s="31"/>
      <c r="K151" s="32" t="str">
        <f t="shared" si="170"/>
        <v>-</v>
      </c>
      <c r="L151" s="31"/>
      <c r="M151" s="32" t="str">
        <f t="shared" si="171"/>
        <v>-</v>
      </c>
      <c r="N151" s="31"/>
      <c r="O151" s="32" t="str">
        <f t="shared" si="172"/>
        <v>-</v>
      </c>
      <c r="P151" s="31"/>
      <c r="Q151" s="32" t="str">
        <f t="shared" si="173"/>
        <v>-</v>
      </c>
      <c r="R151" s="31"/>
      <c r="S151" s="32" t="str">
        <f t="shared" si="174"/>
        <v>-</v>
      </c>
      <c r="T151" s="31"/>
      <c r="U151" s="32" t="str">
        <f t="shared" si="175"/>
        <v>-</v>
      </c>
      <c r="V151" s="31"/>
      <c r="W151" s="32" t="str">
        <f t="shared" si="176"/>
        <v>-</v>
      </c>
      <c r="X151" s="31"/>
      <c r="Y151" s="32" t="str">
        <f t="shared" si="177"/>
        <v>-</v>
      </c>
      <c r="Z151" s="31"/>
      <c r="AA151" s="32" t="str">
        <f t="shared" si="178"/>
        <v>-</v>
      </c>
      <c r="AB151" s="31"/>
      <c r="AC151" s="32" t="str">
        <f t="shared" si="179"/>
        <v>-</v>
      </c>
      <c r="AD151" s="31"/>
      <c r="AE151" s="32" t="str">
        <f t="shared" si="180"/>
        <v>-</v>
      </c>
      <c r="AF151" s="31"/>
    </row>
    <row r="152" spans="1:32" ht="14.25" outlineLevel="1">
      <c r="A152" s="308" t="s">
        <v>203</v>
      </c>
      <c r="B152" s="294"/>
      <c r="C152" s="30" t="e">
        <f ca="1">'BD tratado'!D159</f>
        <v>#NAME?</v>
      </c>
      <c r="D152" s="31"/>
      <c r="E152" s="32" t="str">
        <f t="shared" si="167"/>
        <v>-</v>
      </c>
      <c r="F152" s="31"/>
      <c r="G152" s="32" t="str">
        <f t="shared" si="168"/>
        <v>-</v>
      </c>
      <c r="H152" s="31"/>
      <c r="I152" s="32" t="str">
        <f t="shared" si="169"/>
        <v>-</v>
      </c>
      <c r="J152" s="31"/>
      <c r="K152" s="32" t="str">
        <f t="shared" si="170"/>
        <v>-</v>
      </c>
      <c r="L152" s="31"/>
      <c r="M152" s="32" t="str">
        <f t="shared" si="171"/>
        <v>-</v>
      </c>
      <c r="N152" s="31"/>
      <c r="O152" s="32" t="str">
        <f t="shared" si="172"/>
        <v>-</v>
      </c>
      <c r="P152" s="31"/>
      <c r="Q152" s="32" t="str">
        <f t="shared" si="173"/>
        <v>-</v>
      </c>
      <c r="R152" s="31"/>
      <c r="S152" s="32" t="str">
        <f t="shared" si="174"/>
        <v>-</v>
      </c>
      <c r="T152" s="31"/>
      <c r="U152" s="32" t="str">
        <f t="shared" si="175"/>
        <v>-</v>
      </c>
      <c r="V152" s="31"/>
      <c r="W152" s="32" t="str">
        <f t="shared" si="176"/>
        <v>-</v>
      </c>
      <c r="X152" s="31"/>
      <c r="Y152" s="32" t="str">
        <f t="shared" si="177"/>
        <v>-</v>
      </c>
      <c r="Z152" s="31"/>
      <c r="AA152" s="32" t="str">
        <f t="shared" si="178"/>
        <v>-</v>
      </c>
      <c r="AB152" s="31"/>
      <c r="AC152" s="32" t="str">
        <f t="shared" si="179"/>
        <v>-</v>
      </c>
      <c r="AD152" s="31"/>
      <c r="AE152" s="32" t="str">
        <f t="shared" si="180"/>
        <v>-</v>
      </c>
      <c r="AF152" s="31"/>
    </row>
    <row r="153" spans="1:32" ht="14.25" outlineLevel="1">
      <c r="A153" s="308" t="s">
        <v>204</v>
      </c>
      <c r="B153" s="294"/>
      <c r="C153" s="30" t="e">
        <f ca="1">'BD tratado'!D160</f>
        <v>#NAME?</v>
      </c>
      <c r="D153" s="31"/>
      <c r="E153" s="32" t="str">
        <f t="shared" si="167"/>
        <v>-</v>
      </c>
      <c r="F153" s="31"/>
      <c r="G153" s="32" t="str">
        <f t="shared" si="168"/>
        <v>-</v>
      </c>
      <c r="H153" s="31"/>
      <c r="I153" s="32" t="str">
        <f t="shared" si="169"/>
        <v>-</v>
      </c>
      <c r="J153" s="31"/>
      <c r="K153" s="32" t="str">
        <f t="shared" si="170"/>
        <v>-</v>
      </c>
      <c r="L153" s="31"/>
      <c r="M153" s="32" t="str">
        <f t="shared" si="171"/>
        <v>-</v>
      </c>
      <c r="N153" s="31"/>
      <c r="O153" s="32" t="str">
        <f t="shared" si="172"/>
        <v>-</v>
      </c>
      <c r="P153" s="31"/>
      <c r="Q153" s="32" t="str">
        <f t="shared" si="173"/>
        <v>-</v>
      </c>
      <c r="R153" s="31"/>
      <c r="S153" s="32" t="str">
        <f t="shared" si="174"/>
        <v>-</v>
      </c>
      <c r="T153" s="31"/>
      <c r="U153" s="32" t="str">
        <f t="shared" si="175"/>
        <v>-</v>
      </c>
      <c r="V153" s="31"/>
      <c r="W153" s="32" t="str">
        <f t="shared" si="176"/>
        <v>-</v>
      </c>
      <c r="X153" s="31"/>
      <c r="Y153" s="32" t="str">
        <f t="shared" si="177"/>
        <v>-</v>
      </c>
      <c r="Z153" s="31"/>
      <c r="AA153" s="32" t="str">
        <f t="shared" si="178"/>
        <v>-</v>
      </c>
      <c r="AB153" s="31"/>
      <c r="AC153" s="32" t="str">
        <f t="shared" si="179"/>
        <v>-</v>
      </c>
      <c r="AD153" s="31"/>
      <c r="AE153" s="32" t="str">
        <f t="shared" si="180"/>
        <v>-</v>
      </c>
      <c r="AF153" s="31"/>
    </row>
    <row r="154" spans="1:32" ht="14.25" outlineLevel="1">
      <c r="A154" s="308" t="s">
        <v>205</v>
      </c>
      <c r="B154" s="294"/>
      <c r="C154" s="30" t="e">
        <f ca="1">'BD tratado'!D161</f>
        <v>#NAME?</v>
      </c>
      <c r="D154" s="31"/>
      <c r="E154" s="32" t="str">
        <f t="shared" si="167"/>
        <v>-</v>
      </c>
      <c r="F154" s="31"/>
      <c r="G154" s="32" t="str">
        <f t="shared" si="168"/>
        <v>-</v>
      </c>
      <c r="H154" s="31"/>
      <c r="I154" s="32" t="str">
        <f t="shared" si="169"/>
        <v>-</v>
      </c>
      <c r="J154" s="31"/>
      <c r="K154" s="32" t="str">
        <f t="shared" si="170"/>
        <v>-</v>
      </c>
      <c r="L154" s="31"/>
      <c r="M154" s="32" t="str">
        <f t="shared" si="171"/>
        <v>-</v>
      </c>
      <c r="N154" s="31"/>
      <c r="O154" s="32" t="str">
        <f t="shared" si="172"/>
        <v>-</v>
      </c>
      <c r="P154" s="31"/>
      <c r="Q154" s="32" t="str">
        <f t="shared" si="173"/>
        <v>-</v>
      </c>
      <c r="R154" s="31"/>
      <c r="S154" s="32" t="str">
        <f t="shared" si="174"/>
        <v>-</v>
      </c>
      <c r="T154" s="31"/>
      <c r="U154" s="32" t="str">
        <f t="shared" si="175"/>
        <v>-</v>
      </c>
      <c r="V154" s="31"/>
      <c r="W154" s="32" t="str">
        <f t="shared" si="176"/>
        <v>-</v>
      </c>
      <c r="X154" s="31"/>
      <c r="Y154" s="32" t="str">
        <f t="shared" si="177"/>
        <v>-</v>
      </c>
      <c r="Z154" s="31"/>
      <c r="AA154" s="32" t="str">
        <f t="shared" si="178"/>
        <v>-</v>
      </c>
      <c r="AB154" s="31"/>
      <c r="AC154" s="32" t="str">
        <f t="shared" si="179"/>
        <v>-</v>
      </c>
      <c r="AD154" s="31"/>
      <c r="AE154" s="32" t="str">
        <f t="shared" si="180"/>
        <v>-</v>
      </c>
      <c r="AF154" s="31"/>
    </row>
    <row r="155" spans="1:32" ht="14.25" outlineLevel="1">
      <c r="A155" s="308" t="s">
        <v>206</v>
      </c>
      <c r="B155" s="294"/>
      <c r="C155" s="30" t="e">
        <f ca="1">'BD tratado'!D162</f>
        <v>#NAME?</v>
      </c>
      <c r="D155" s="31"/>
      <c r="E155" s="32" t="str">
        <f t="shared" si="167"/>
        <v>-</v>
      </c>
      <c r="F155" s="31"/>
      <c r="G155" s="32" t="str">
        <f t="shared" si="168"/>
        <v>-</v>
      </c>
      <c r="H155" s="31"/>
      <c r="I155" s="32" t="str">
        <f t="shared" si="169"/>
        <v>-</v>
      </c>
      <c r="J155" s="31"/>
      <c r="K155" s="32" t="str">
        <f t="shared" si="170"/>
        <v>-</v>
      </c>
      <c r="L155" s="31"/>
      <c r="M155" s="32" t="str">
        <f t="shared" si="171"/>
        <v>-</v>
      </c>
      <c r="N155" s="31"/>
      <c r="O155" s="32" t="str">
        <f t="shared" si="172"/>
        <v>-</v>
      </c>
      <c r="P155" s="31"/>
      <c r="Q155" s="32" t="str">
        <f t="shared" si="173"/>
        <v>-</v>
      </c>
      <c r="R155" s="31"/>
      <c r="S155" s="32" t="str">
        <f t="shared" si="174"/>
        <v>-</v>
      </c>
      <c r="T155" s="31"/>
      <c r="U155" s="32" t="str">
        <f t="shared" si="175"/>
        <v>-</v>
      </c>
      <c r="V155" s="31"/>
      <c r="W155" s="32" t="str">
        <f t="shared" si="176"/>
        <v>-</v>
      </c>
      <c r="X155" s="31"/>
      <c r="Y155" s="32" t="str">
        <f t="shared" si="177"/>
        <v>-</v>
      </c>
      <c r="Z155" s="31"/>
      <c r="AA155" s="32" t="str">
        <f t="shared" si="178"/>
        <v>-</v>
      </c>
      <c r="AB155" s="31"/>
      <c r="AC155" s="32" t="str">
        <f t="shared" si="179"/>
        <v>-</v>
      </c>
      <c r="AD155" s="31"/>
      <c r="AE155" s="32" t="str">
        <f t="shared" si="180"/>
        <v>-</v>
      </c>
      <c r="AF155" s="31"/>
    </row>
    <row r="156" spans="1:32" ht="14.25" outlineLevel="1">
      <c r="A156" s="308" t="s">
        <v>207</v>
      </c>
      <c r="B156" s="294"/>
      <c r="C156" s="30" t="e">
        <f ca="1">'BD tratado'!D163</f>
        <v>#NAME?</v>
      </c>
      <c r="D156" s="31"/>
      <c r="E156" s="32" t="str">
        <f t="shared" si="167"/>
        <v>-</v>
      </c>
      <c r="F156" s="31"/>
      <c r="G156" s="32" t="str">
        <f t="shared" si="168"/>
        <v>-</v>
      </c>
      <c r="H156" s="31"/>
      <c r="I156" s="32" t="str">
        <f t="shared" si="169"/>
        <v>-</v>
      </c>
      <c r="J156" s="31"/>
      <c r="K156" s="32" t="str">
        <f t="shared" si="170"/>
        <v>-</v>
      </c>
      <c r="L156" s="31"/>
      <c r="M156" s="32" t="str">
        <f t="shared" si="171"/>
        <v>-</v>
      </c>
      <c r="N156" s="31"/>
      <c r="O156" s="32" t="str">
        <f t="shared" si="172"/>
        <v>-</v>
      </c>
      <c r="P156" s="31"/>
      <c r="Q156" s="32" t="str">
        <f t="shared" si="173"/>
        <v>-</v>
      </c>
      <c r="R156" s="31"/>
      <c r="S156" s="32" t="str">
        <f t="shared" si="174"/>
        <v>-</v>
      </c>
      <c r="T156" s="31"/>
      <c r="U156" s="32" t="str">
        <f t="shared" si="175"/>
        <v>-</v>
      </c>
      <c r="V156" s="31"/>
      <c r="W156" s="32" t="str">
        <f t="shared" si="176"/>
        <v>-</v>
      </c>
      <c r="X156" s="31"/>
      <c r="Y156" s="32" t="str">
        <f t="shared" si="177"/>
        <v>-</v>
      </c>
      <c r="Z156" s="31"/>
      <c r="AA156" s="32" t="str">
        <f t="shared" si="178"/>
        <v>-</v>
      </c>
      <c r="AB156" s="31"/>
      <c r="AC156" s="32" t="str">
        <f t="shared" si="179"/>
        <v>-</v>
      </c>
      <c r="AD156" s="31"/>
      <c r="AE156" s="32" t="str">
        <f t="shared" si="180"/>
        <v>-</v>
      </c>
      <c r="AF156" s="31"/>
    </row>
    <row r="157" spans="1:32" ht="14.25" outlineLevel="1">
      <c r="A157" s="308" t="s">
        <v>208</v>
      </c>
      <c r="B157" s="294"/>
      <c r="C157" s="30" t="e">
        <f ca="1">'BD tratado'!D164</f>
        <v>#NAME?</v>
      </c>
      <c r="D157" s="31"/>
      <c r="E157" s="32" t="str">
        <f t="shared" si="167"/>
        <v>-</v>
      </c>
      <c r="F157" s="31"/>
      <c r="G157" s="32" t="str">
        <f t="shared" si="168"/>
        <v>-</v>
      </c>
      <c r="H157" s="31"/>
      <c r="I157" s="32" t="str">
        <f t="shared" si="169"/>
        <v>-</v>
      </c>
      <c r="J157" s="31"/>
      <c r="K157" s="32" t="str">
        <f t="shared" si="170"/>
        <v>-</v>
      </c>
      <c r="L157" s="31"/>
      <c r="M157" s="32" t="str">
        <f t="shared" si="171"/>
        <v>-</v>
      </c>
      <c r="N157" s="31"/>
      <c r="O157" s="32" t="str">
        <f t="shared" si="172"/>
        <v>-</v>
      </c>
      <c r="P157" s="31"/>
      <c r="Q157" s="32" t="str">
        <f t="shared" si="173"/>
        <v>-</v>
      </c>
      <c r="R157" s="31"/>
      <c r="S157" s="32" t="str">
        <f t="shared" si="174"/>
        <v>-</v>
      </c>
      <c r="T157" s="31"/>
      <c r="U157" s="32" t="str">
        <f t="shared" si="175"/>
        <v>-</v>
      </c>
      <c r="V157" s="31"/>
      <c r="W157" s="32" t="str">
        <f t="shared" si="176"/>
        <v>-</v>
      </c>
      <c r="X157" s="31"/>
      <c r="Y157" s="32" t="str">
        <f t="shared" si="177"/>
        <v>-</v>
      </c>
      <c r="Z157" s="31"/>
      <c r="AA157" s="32" t="str">
        <f t="shared" si="178"/>
        <v>-</v>
      </c>
      <c r="AB157" s="31"/>
      <c r="AC157" s="32" t="str">
        <f t="shared" si="179"/>
        <v>-</v>
      </c>
      <c r="AD157" s="31"/>
      <c r="AE157" s="32" t="str">
        <f t="shared" si="180"/>
        <v>-</v>
      </c>
      <c r="AF157" s="31"/>
    </row>
    <row r="158" spans="1:32" ht="14.25" outlineLevel="1">
      <c r="A158" s="308" t="s">
        <v>209</v>
      </c>
      <c r="B158" s="294"/>
      <c r="C158" s="30" t="e">
        <f ca="1">'BD tratado'!D165</f>
        <v>#NAME?</v>
      </c>
      <c r="D158" s="31"/>
      <c r="E158" s="32" t="str">
        <f t="shared" si="167"/>
        <v>-</v>
      </c>
      <c r="F158" s="31"/>
      <c r="G158" s="32" t="str">
        <f t="shared" si="168"/>
        <v>-</v>
      </c>
      <c r="H158" s="31"/>
      <c r="I158" s="32" t="str">
        <f t="shared" si="169"/>
        <v>-</v>
      </c>
      <c r="J158" s="31"/>
      <c r="K158" s="32" t="str">
        <f t="shared" si="170"/>
        <v>-</v>
      </c>
      <c r="L158" s="31"/>
      <c r="M158" s="32" t="str">
        <f t="shared" si="171"/>
        <v>-</v>
      </c>
      <c r="N158" s="31"/>
      <c r="O158" s="32" t="str">
        <f t="shared" si="172"/>
        <v>-</v>
      </c>
      <c r="P158" s="31"/>
      <c r="Q158" s="32" t="str">
        <f t="shared" si="173"/>
        <v>-</v>
      </c>
      <c r="R158" s="31"/>
      <c r="S158" s="32" t="str">
        <f t="shared" si="174"/>
        <v>-</v>
      </c>
      <c r="T158" s="31"/>
      <c r="U158" s="32" t="str">
        <f t="shared" si="175"/>
        <v>-</v>
      </c>
      <c r="V158" s="31"/>
      <c r="W158" s="32" t="str">
        <f t="shared" si="176"/>
        <v>-</v>
      </c>
      <c r="X158" s="31"/>
      <c r="Y158" s="32" t="str">
        <f t="shared" si="177"/>
        <v>-</v>
      </c>
      <c r="Z158" s="31"/>
      <c r="AA158" s="32" t="str">
        <f t="shared" si="178"/>
        <v>-</v>
      </c>
      <c r="AB158" s="31"/>
      <c r="AC158" s="32" t="str">
        <f t="shared" si="179"/>
        <v>-</v>
      </c>
      <c r="AD158" s="31"/>
      <c r="AE158" s="32" t="str">
        <f t="shared" si="180"/>
        <v>-</v>
      </c>
      <c r="AF158" s="31"/>
    </row>
    <row r="159" spans="1:32" ht="14.25" outlineLevel="1">
      <c r="A159" s="308" t="s">
        <v>210</v>
      </c>
      <c r="B159" s="294"/>
      <c r="C159" s="30" t="e">
        <f ca="1">'BD tratado'!D166</f>
        <v>#NAME?</v>
      </c>
      <c r="D159" s="31"/>
      <c r="E159" s="32" t="str">
        <f t="shared" si="167"/>
        <v>-</v>
      </c>
      <c r="F159" s="31"/>
      <c r="G159" s="32" t="str">
        <f t="shared" si="168"/>
        <v>-</v>
      </c>
      <c r="H159" s="31"/>
      <c r="I159" s="32" t="str">
        <f t="shared" si="169"/>
        <v>-</v>
      </c>
      <c r="J159" s="31"/>
      <c r="K159" s="32" t="str">
        <f t="shared" si="170"/>
        <v>-</v>
      </c>
      <c r="L159" s="31"/>
      <c r="M159" s="32" t="str">
        <f t="shared" si="171"/>
        <v>-</v>
      </c>
      <c r="N159" s="31"/>
      <c r="O159" s="32" t="str">
        <f t="shared" si="172"/>
        <v>-</v>
      </c>
      <c r="P159" s="31"/>
      <c r="Q159" s="32" t="str">
        <f t="shared" si="173"/>
        <v>-</v>
      </c>
      <c r="R159" s="31"/>
      <c r="S159" s="32" t="str">
        <f t="shared" si="174"/>
        <v>-</v>
      </c>
      <c r="T159" s="31"/>
      <c r="U159" s="32" t="str">
        <f t="shared" si="175"/>
        <v>-</v>
      </c>
      <c r="V159" s="31"/>
      <c r="W159" s="32" t="str">
        <f t="shared" si="176"/>
        <v>-</v>
      </c>
      <c r="X159" s="31"/>
      <c r="Y159" s="32" t="str">
        <f t="shared" si="177"/>
        <v>-</v>
      </c>
      <c r="Z159" s="31"/>
      <c r="AA159" s="32" t="str">
        <f t="shared" si="178"/>
        <v>-</v>
      </c>
      <c r="AB159" s="31"/>
      <c r="AC159" s="32" t="str">
        <f t="shared" si="179"/>
        <v>-</v>
      </c>
      <c r="AD159" s="31"/>
      <c r="AE159" s="32" t="str">
        <f t="shared" si="180"/>
        <v>-</v>
      </c>
      <c r="AF159" s="31"/>
    </row>
  </sheetData>
  <mergeCells count="162">
    <mergeCell ref="A138:B138"/>
    <mergeCell ref="A139:B139"/>
    <mergeCell ref="A140:B140"/>
    <mergeCell ref="A141:B141"/>
    <mergeCell ref="A142:B142"/>
    <mergeCell ref="A143:B143"/>
    <mergeCell ref="A144:B144"/>
    <mergeCell ref="A128:B128"/>
    <mergeCell ref="A129:B129"/>
    <mergeCell ref="A130:B130"/>
    <mergeCell ref="A131:B131"/>
    <mergeCell ref="A132:B132"/>
    <mergeCell ref="A133:B133"/>
    <mergeCell ref="A134:B134"/>
    <mergeCell ref="A135:B135"/>
    <mergeCell ref="A136:C137"/>
    <mergeCell ref="A118:B118"/>
    <mergeCell ref="A119:B119"/>
    <mergeCell ref="A120:B120"/>
    <mergeCell ref="A121:B121"/>
    <mergeCell ref="A122:B122"/>
    <mergeCell ref="A123:C124"/>
    <mergeCell ref="A125:B125"/>
    <mergeCell ref="A126:B126"/>
    <mergeCell ref="A127:B127"/>
    <mergeCell ref="A109:B109"/>
    <mergeCell ref="A110:B110"/>
    <mergeCell ref="A111:B111"/>
    <mergeCell ref="A112:B112"/>
    <mergeCell ref="A113:B113"/>
    <mergeCell ref="A114:B114"/>
    <mergeCell ref="A115:B115"/>
    <mergeCell ref="A116:B116"/>
    <mergeCell ref="A117:B117"/>
    <mergeCell ref="A153:B153"/>
    <mergeCell ref="A154:B154"/>
    <mergeCell ref="A155:B155"/>
    <mergeCell ref="A156:B156"/>
    <mergeCell ref="A157:B157"/>
    <mergeCell ref="A158:B158"/>
    <mergeCell ref="A159:B159"/>
    <mergeCell ref="A145:B145"/>
    <mergeCell ref="A146:B146"/>
    <mergeCell ref="A147:B147"/>
    <mergeCell ref="A148:B148"/>
    <mergeCell ref="A149:B149"/>
    <mergeCell ref="A150:B150"/>
    <mergeCell ref="A151:B151"/>
    <mergeCell ref="A86:B86"/>
    <mergeCell ref="A87:B87"/>
    <mergeCell ref="A88:B88"/>
    <mergeCell ref="A89:B89"/>
    <mergeCell ref="A90:B90"/>
    <mergeCell ref="A91:B91"/>
    <mergeCell ref="A92:B92"/>
    <mergeCell ref="A93:B93"/>
    <mergeCell ref="A152:B152"/>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77:B77"/>
    <mergeCell ref="A78:B78"/>
    <mergeCell ref="A79:B79"/>
    <mergeCell ref="A80:B80"/>
    <mergeCell ref="A81:B81"/>
    <mergeCell ref="A82:B82"/>
    <mergeCell ref="A83:B83"/>
    <mergeCell ref="A84:B84"/>
    <mergeCell ref="A85:B85"/>
    <mergeCell ref="A68:B68"/>
    <mergeCell ref="A69:B69"/>
    <mergeCell ref="A70:B70"/>
    <mergeCell ref="A71:B71"/>
    <mergeCell ref="A72:B72"/>
    <mergeCell ref="A73:B73"/>
    <mergeCell ref="A74:B74"/>
    <mergeCell ref="A75:B75"/>
    <mergeCell ref="A76:B76"/>
    <mergeCell ref="A59:B59"/>
    <mergeCell ref="A60:B60"/>
    <mergeCell ref="A61:B61"/>
    <mergeCell ref="A62:B62"/>
    <mergeCell ref="A63:B63"/>
    <mergeCell ref="A64:B64"/>
    <mergeCell ref="A65:B65"/>
    <mergeCell ref="A66:B66"/>
    <mergeCell ref="A67:B67"/>
    <mergeCell ref="A50:B50"/>
    <mergeCell ref="A51:B51"/>
    <mergeCell ref="A52:B52"/>
    <mergeCell ref="A53:B53"/>
    <mergeCell ref="A54:B54"/>
    <mergeCell ref="A55:B55"/>
    <mergeCell ref="A56:B56"/>
    <mergeCell ref="A57:B57"/>
    <mergeCell ref="A58:B58"/>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A5:B5"/>
    <mergeCell ref="A6:B6"/>
    <mergeCell ref="A7:B7"/>
    <mergeCell ref="A8:B8"/>
    <mergeCell ref="A9:B9"/>
    <mergeCell ref="A10:B10"/>
    <mergeCell ref="A11:B11"/>
    <mergeCell ref="A12:B12"/>
    <mergeCell ref="A13:B13"/>
    <mergeCell ref="B1:D1"/>
    <mergeCell ref="F1:G1"/>
    <mergeCell ref="K1:L1"/>
    <mergeCell ref="O1:P1"/>
    <mergeCell ref="R1:S1"/>
    <mergeCell ref="V1:X1"/>
    <mergeCell ref="Y1:Z1"/>
    <mergeCell ref="A3:B3"/>
    <mergeCell ref="A4:B4"/>
  </mergeCells>
  <conditionalFormatting sqref="D3:D6 F3:F6 H3:H6 J3:J6 L3:L6 N3:N6 P3:P6 R3:R6 T3:T6 V3:V6 X3:X6 Z3:Z6 AB3:AB6 AD3:AD6 AF3:AF6 D10:D11 F10:F11 H10:H11 J10:J11 L10:L11 N10:N11 P10:P11 R10:R11 T10:T11 V10:V11 X10:X11 Z10:Z11 AB10:AB11 AD10:AD11 AF10:AF11 D13:D25 F13:F25 H13:H25 J13:J25 L13:L25 N13:N25 P13:P25 R13:R25 T13:T25 V13:V25 X13:X25 Z13:Z25 AB13:AB25 AD13:AD25 AF13:AF25 D27:D31 F27:F31 H27:H31 J27:J31 L27:L31 N27:N31 P27:P31 R27:R31 T27:T31 V27:V31 X27:X31 Z27:Z31 AB27:AB31 AD27:AD31 AF27:AF31 D36:D38 F36:F38 H36:H38 J36:J38 L36:L38 N36:N38 P36:P38 R36:R38 T36:T38 V36:V38 X36:X38 Z36:Z38 AB36:AB38 AD36:AD38 AF36:AF38 D44:D47 F44:F47 H44:H47 J44:J47 L44:L47 N44:N47 P44:P47 R44:R47 T44:T47 V44:V47 X44:X47 Z44:Z47 AB44:AB47 AD44:AD47 AF44:AF47 D49:D51 F49:F51 H49:H51 J49:J51 L49:L51 N49:N51 P49:P51 R49:R51 T49:T51 V49:V51 X49:X51 Z49:Z51 AB49:AB51 AD49:AD51 AF49:AF51 D53:D55 F53:F55 H53:H55 J53:J55 L53:L55 N53:N55 P53:P55 R53:R55 T53:T55 V53:V55 X53:X55 Z53:Z55 AB53:AB55 AD53:AD55 AF53:AF55 D57:D59 F57:F59 H57:H59 J57:J59 L57:L59 N57:N59 P57:P59 R57:R59 T57:T59 V57:V59 X57:X59 Z57:Z59 AB57:AB59 AD57:AD59 AF57:AF59 D63:D65 F63:F65 H63:H65 J63:J65 L63:L65 N63:N65 P63:P65 R63:R65 T63:T65 V63:V65 X63:X65 Z63:Z65 AB63:AB65 AD63:AD65 AF63:AF65 D67:D69 F67:F69 H67:H69 J67:J69 L67:L69 N67:N69 P67:P69 R67:R69 T67:T69 V67:V69 X67:X69 Z67:Z69 AB67:AB69 AD67:AD69 AF67:AF69 D72:D80 F72:F80 H72:H80 J72:J80 L72:L80 N72:N80 P72:P80 R72:R80 T72:T80 V72:V80 X72:X80 Z72:Z80 AB72:AB80 AD72:AD80 AF72:AF80 D82:D90 F82:F90 H82:H90 J82:J90 L82:L90 N82:N90 P82:P90 R82:R90 T82:T90 V82:V90 X82:X90 Z82:Z90 AB82:AB90 AD82:AD90 AF82:AF90 D92:D100 F92:F100 H92:H100 J92:J100 L92:L100 N92:N100 P92:P100 R92:R100 T92:T100 V92:V100 X92:X100 Z92:Z100 AB92:AB100 AD92:AD100 AF92:AF100 D103:D107 F103:F107 H103:H107 J103:J107 L103:L107 N103:N107 P103:P107 R103:R107 T103:T107 V103:V107 X103:X107 Z103:Z107 AB103:AB107 AD103:AD107 AF103:AF107 D109:D113 F109:F113 H109:H113 J109:J113 L109:L113 N109:N113 P109:P113 R109:R113 T109:T113 V109:V113 X109:X113 Z109:Z113 AB109:AB113 AD109:AD113 AF109:AF113 D119:D120 F119:F120 H119:H120 J119:J120 L119:L120 N119:N120 P119:P120 R119:R120 T119:T120 V119:V120 X119:X120 Z119:Z120 AB119:AB120 AD119:AD120 AF119:AF120 D126:D129 F126:F129 H126:H129 J126:J129 L126:L129 N126:N129 P126:P129 R126:R129 T126:T129 V126:V129 X126:X129 Z126:Z129 AB126:AB129 AD126:AD129 AF126:AF129 D150:D159 F150:F159 H150:H159 J150:J159 L150:L159 N150:N159 P150:P159 R150:R159 T150:T159 V150:V159 X150:X159 Z150:Z159 AB150:AB159 AD150:AD159 AF150:AF159">
    <cfRule type="expression" dxfId="0" priority="1">
      <formula>$C$9=D$9</formula>
    </cfRule>
  </conditionalFormatting>
  <dataValidations count="5">
    <dataValidation type="list" allowBlank="1" showErrorMessage="1" sqref="O1" xr:uid="{00000000-0002-0000-0100-000000000000}">
      <formula1>"Ativo,Irregularmente Ativo,Sedentário"</formula1>
    </dataValidation>
    <dataValidation type="list" allowBlank="1" showErrorMessage="1" sqref="K1" xr:uid="{00000000-0002-0000-0100-000001000000}">
      <formula1>"Masculino,Feminino"</formula1>
    </dataValidation>
    <dataValidation type="list" allowBlank="1" showErrorMessage="1" sqref="T1" xr:uid="{00000000-0002-0000-0100-000002000000}">
      <formula1>"Negativo,Positivo"</formula1>
    </dataValidation>
    <dataValidation type="custom" allowBlank="1" showDropDown="1" sqref="H1 D3 F3 H3 J3 L3 N3 P3 R3 T3 V3 X3 Z3 AB3 AD3 AF3" xr:uid="{00000000-0002-0000-0100-000003000000}">
      <formula1>OR(NOT(ISERROR(DATEVALUE(D1))), AND(ISNUMBER(D1), LEFT(CELL("format", D1))="D"))</formula1>
    </dataValidation>
    <dataValidation type="list" allowBlank="1" showErrorMessage="1" sqref="Y1" xr:uid="{00000000-0002-0000-0100-000004000000}">
      <formula1>"Baixo risco,Moderado risco,Alto Risco"</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66"/>
  <sheetViews>
    <sheetView workbookViewId="0">
      <selection sqref="A1:B1"/>
    </sheetView>
  </sheetViews>
  <sheetFormatPr defaultColWidth="12.5703125" defaultRowHeight="15.75" customHeight="1"/>
  <cols>
    <col min="1" max="1" width="5.42578125" customWidth="1"/>
    <col min="2" max="15" width="5" customWidth="1"/>
    <col min="16" max="16" width="4.5703125" customWidth="1"/>
    <col min="17" max="17" width="4.42578125" customWidth="1"/>
  </cols>
  <sheetData>
    <row r="1" spans="1:17">
      <c r="A1" s="361" t="s">
        <v>0</v>
      </c>
      <c r="B1" s="294"/>
      <c r="C1" s="362" t="str">
        <f>Avaliação!B1</f>
        <v>Claudinei Rogério Gasparoto</v>
      </c>
      <c r="D1" s="294"/>
      <c r="E1" s="294"/>
      <c r="F1" s="294"/>
      <c r="G1" s="294"/>
      <c r="H1" s="294"/>
      <c r="I1" s="294"/>
      <c r="J1" s="41"/>
      <c r="K1" s="41"/>
      <c r="L1" s="41"/>
      <c r="M1" s="41"/>
      <c r="N1" s="41"/>
      <c r="O1" s="41"/>
      <c r="P1" s="41"/>
      <c r="Q1" s="41"/>
    </row>
    <row r="2" spans="1:17">
      <c r="A2" s="42"/>
      <c r="B2" s="42"/>
      <c r="C2" s="42"/>
      <c r="D2" s="42"/>
      <c r="E2" s="42"/>
      <c r="F2" s="42"/>
      <c r="G2" s="42"/>
      <c r="H2" s="42"/>
      <c r="I2" s="42"/>
      <c r="J2" s="42"/>
      <c r="K2" s="41"/>
      <c r="L2" s="41"/>
      <c r="M2" s="41"/>
      <c r="N2" s="41"/>
      <c r="O2" s="42"/>
      <c r="P2" s="42"/>
      <c r="Q2" s="42"/>
    </row>
    <row r="3" spans="1:17">
      <c r="A3" s="363" t="s">
        <v>211</v>
      </c>
      <c r="B3" s="319"/>
      <c r="C3" s="319"/>
      <c r="D3" s="319"/>
      <c r="E3" s="319"/>
      <c r="F3" s="319"/>
      <c r="G3" s="319"/>
      <c r="H3" s="319"/>
      <c r="I3" s="319"/>
      <c r="J3" s="319"/>
      <c r="K3" s="319"/>
      <c r="L3" s="319"/>
      <c r="M3" s="319"/>
      <c r="N3" s="319"/>
      <c r="O3" s="319"/>
      <c r="P3" s="319"/>
      <c r="Q3" s="42"/>
    </row>
    <row r="4" spans="1:17">
      <c r="A4" s="364" t="s">
        <v>48</v>
      </c>
      <c r="B4" s="319"/>
      <c r="C4" s="319"/>
      <c r="D4" s="319"/>
      <c r="E4" s="44"/>
      <c r="F4" s="350" t="s">
        <v>212</v>
      </c>
      <c r="G4" s="319"/>
      <c r="H4" s="44"/>
      <c r="I4" s="350" t="s">
        <v>213</v>
      </c>
      <c r="J4" s="319"/>
      <c r="K4" s="319"/>
      <c r="L4" s="319"/>
      <c r="M4" s="319"/>
      <c r="N4" s="44"/>
      <c r="O4" s="350" t="s">
        <v>39</v>
      </c>
      <c r="P4" s="319"/>
      <c r="Q4" s="42"/>
    </row>
    <row r="5" spans="1:17">
      <c r="A5" s="365">
        <f ca="1">OFFSET(BD!$A$2,,MATCH(A4,BD!$B$1:$P$1,0))</f>
        <v>45938</v>
      </c>
      <c r="B5" s="317"/>
      <c r="C5" s="317"/>
      <c r="D5" s="317"/>
      <c r="E5" s="46"/>
      <c r="F5" s="317"/>
      <c r="G5" s="317"/>
      <c r="H5" s="46"/>
      <c r="I5" s="357" t="s">
        <v>214</v>
      </c>
      <c r="J5" s="317"/>
      <c r="K5" s="46"/>
      <c r="L5" s="357" t="s">
        <v>215</v>
      </c>
      <c r="M5" s="317"/>
      <c r="N5" s="46"/>
      <c r="O5" s="317"/>
      <c r="P5" s="317"/>
      <c r="Q5" s="42"/>
    </row>
    <row r="6" spans="1:17">
      <c r="A6" s="339" t="s">
        <v>89</v>
      </c>
      <c r="B6" s="294"/>
      <c r="C6" s="294"/>
      <c r="D6" s="294"/>
      <c r="E6" s="41"/>
      <c r="F6" s="315">
        <f ca="1">OFFSET(BD!$A31,0,MATCH($A$4,BD!$B$1:$P$1,0))</f>
        <v>6.8975808806644778</v>
      </c>
      <c r="G6" s="294"/>
      <c r="H6" s="42"/>
      <c r="I6" s="346">
        <v>7</v>
      </c>
      <c r="J6" s="294"/>
      <c r="K6" s="51"/>
      <c r="L6" s="346">
        <v>8</v>
      </c>
      <c r="M6" s="294"/>
      <c r="N6" s="42"/>
      <c r="O6" s="366">
        <f t="shared" ref="O6:O10" ca="1" si="0">(((L6+I6)/2)-F6)/F6*100</f>
        <v>8.7337739094041353</v>
      </c>
      <c r="P6" s="319"/>
      <c r="Q6" s="42"/>
    </row>
    <row r="7" spans="1:17">
      <c r="A7" s="339" t="s">
        <v>216</v>
      </c>
      <c r="B7" s="294"/>
      <c r="C7" s="294"/>
      <c r="D7" s="294"/>
      <c r="E7" s="41"/>
      <c r="F7" s="358">
        <f ca="1">OFFSET(BD!$A32,0,MATCH($A$4,BD!$B$1:$P$1,0))</f>
        <v>4.7317404841358313</v>
      </c>
      <c r="G7" s="294"/>
      <c r="H7" s="42"/>
      <c r="I7" s="315">
        <f>I6*$I$10/100</f>
        <v>4.7795698924731189</v>
      </c>
      <c r="J7" s="294"/>
      <c r="K7" s="49"/>
      <c r="L7" s="315">
        <f>L6*$I$10/100</f>
        <v>5.4623655913978499</v>
      </c>
      <c r="M7" s="294"/>
      <c r="N7" s="42"/>
      <c r="O7" s="315">
        <f t="shared" ca="1" si="0"/>
        <v>8.2258792320631304</v>
      </c>
      <c r="P7" s="294"/>
      <c r="Q7" s="42"/>
    </row>
    <row r="8" spans="1:17">
      <c r="A8" s="339" t="s">
        <v>217</v>
      </c>
      <c r="B8" s="294"/>
      <c r="C8" s="294"/>
      <c r="D8" s="294"/>
      <c r="E8" s="41"/>
      <c r="F8" s="358">
        <f ca="1">OFFSET(BD!$A33,0,MATCH($A$4,BD!$B$1:$P$1,0))</f>
        <v>63.86825951586416</v>
      </c>
      <c r="G8" s="294"/>
      <c r="H8" s="42"/>
      <c r="I8" s="346">
        <v>63.5</v>
      </c>
      <c r="J8" s="294"/>
      <c r="K8" s="49"/>
      <c r="L8" s="346">
        <v>64.5</v>
      </c>
      <c r="M8" s="294"/>
      <c r="N8" s="42"/>
      <c r="O8" s="315">
        <f t="shared" ca="1" si="0"/>
        <v>0.20626910007327934</v>
      </c>
      <c r="P8" s="294"/>
      <c r="Q8" s="42"/>
    </row>
    <row r="9" spans="1:17">
      <c r="A9" s="339" t="s">
        <v>218</v>
      </c>
      <c r="B9" s="294"/>
      <c r="C9" s="294"/>
      <c r="D9" s="294"/>
      <c r="E9" s="41"/>
      <c r="F9" s="359">
        <f ca="1">OFFSET(BD!$A35,0,MATCH($A$4,BD!$B$1:$P$1,0))</f>
        <v>8</v>
      </c>
      <c r="G9" s="294"/>
      <c r="H9" s="42"/>
      <c r="I9" s="346">
        <v>7</v>
      </c>
      <c r="J9" s="294"/>
      <c r="K9" s="49"/>
      <c r="L9" s="346">
        <v>8</v>
      </c>
      <c r="M9" s="294"/>
      <c r="N9" s="42"/>
      <c r="O9" s="315">
        <f t="shared" ca="1" si="0"/>
        <v>-6.25</v>
      </c>
      <c r="P9" s="294"/>
      <c r="Q9" s="42"/>
    </row>
    <row r="10" spans="1:17">
      <c r="A10" s="339" t="s">
        <v>219</v>
      </c>
      <c r="B10" s="294"/>
      <c r="C10" s="294"/>
      <c r="D10" s="294"/>
      <c r="E10" s="41"/>
      <c r="F10" s="358">
        <f ca="1">OFFSET(BD!$A8,0,MATCH($A$4,BD!$B$1:$P$1,0))</f>
        <v>68.599999999999994</v>
      </c>
      <c r="G10" s="294"/>
      <c r="H10" s="42"/>
      <c r="I10" s="315">
        <f>I8/(1-(I6/100))</f>
        <v>68.27956989247312</v>
      </c>
      <c r="J10" s="294"/>
      <c r="K10" s="49"/>
      <c r="L10" s="315">
        <f>L8/(1-(L6/100))</f>
        <v>70.108695652173907</v>
      </c>
      <c r="M10" s="294"/>
      <c r="N10" s="41"/>
      <c r="O10" s="367">
        <f t="shared" ca="1" si="0"/>
        <v>0.86608275848909488</v>
      </c>
      <c r="P10" s="294"/>
      <c r="Q10" s="42"/>
    </row>
    <row r="11" spans="1:17">
      <c r="A11" s="341" t="s">
        <v>220</v>
      </c>
      <c r="B11" s="317"/>
      <c r="C11" s="317"/>
      <c r="D11" s="317"/>
      <c r="E11" s="54"/>
      <c r="F11" s="360"/>
      <c r="G11" s="317"/>
      <c r="H11" s="54"/>
      <c r="I11" s="316">
        <f>IF(Avaliação!$K$1="Masculino",I8/0.9,I8/0.8)</f>
        <v>70.555555555555557</v>
      </c>
      <c r="J11" s="317"/>
      <c r="K11" s="56"/>
      <c r="L11" s="316">
        <f>IF(Avaliação!$K$1="Masculino",I8/0.78,I8/0.68)</f>
        <v>81.410256410256409</v>
      </c>
      <c r="M11" s="317"/>
      <c r="N11" s="54"/>
      <c r="O11" s="342"/>
      <c r="P11" s="317"/>
      <c r="Q11" s="42"/>
    </row>
    <row r="12" spans="1:17">
      <c r="A12" s="48"/>
      <c r="B12" s="48"/>
      <c r="C12" s="48"/>
      <c r="D12" s="48"/>
      <c r="E12" s="42"/>
      <c r="F12" s="42"/>
      <c r="G12" s="42"/>
      <c r="H12" s="42"/>
      <c r="I12" s="42"/>
      <c r="J12" s="42"/>
      <c r="K12" s="42"/>
      <c r="L12" s="42"/>
      <c r="M12" s="42"/>
      <c r="N12" s="42"/>
      <c r="O12" s="42"/>
      <c r="P12" s="42"/>
      <c r="Q12" s="42"/>
    </row>
    <row r="13" spans="1:17">
      <c r="A13" s="42"/>
      <c r="B13" s="42"/>
      <c r="C13" s="42"/>
      <c r="D13" s="42"/>
      <c r="E13" s="42"/>
      <c r="F13" s="42"/>
      <c r="G13" s="42"/>
      <c r="H13" s="42"/>
      <c r="I13" s="42"/>
      <c r="J13" s="374" t="s">
        <v>221</v>
      </c>
      <c r="K13" s="294"/>
      <c r="L13" s="294"/>
      <c r="M13" s="294"/>
      <c r="N13" s="294"/>
      <c r="O13" s="294"/>
      <c r="P13" s="294"/>
      <c r="Q13" s="42"/>
    </row>
    <row r="14" spans="1:17" ht="15.75" customHeight="1">
      <c r="J14" s="294"/>
      <c r="K14" s="294"/>
      <c r="L14" s="294"/>
      <c r="M14" s="294"/>
      <c r="N14" s="294"/>
      <c r="O14" s="294"/>
      <c r="P14" s="294"/>
    </row>
    <row r="15" spans="1:17">
      <c r="J15" s="375" t="str">
        <f ca="1">IF(I8&gt;F8,"    ● Desenvolver a ","● Manutenção da ")&amp;"massa magra entre "&amp;ROUND(I8-F8,1)&amp;" e "&amp;ROUND(L8-F8,1)&amp;" kg (~"&amp;ROUND(O8,1)&amp;IF(O8&gt;0,"%▲)","%▼)")</f>
        <v>● Manutenção da massa magra entre -0,4 e 0,6 kg (~0,2%▲)</v>
      </c>
      <c r="K15" s="294"/>
      <c r="L15" s="294"/>
      <c r="M15" s="294"/>
      <c r="N15" s="294"/>
      <c r="O15" s="294"/>
      <c r="P15" s="294"/>
    </row>
    <row r="16" spans="1:17" ht="15.75" customHeight="1">
      <c r="J16" s="294"/>
      <c r="K16" s="294"/>
      <c r="L16" s="294"/>
      <c r="M16" s="294"/>
      <c r="N16" s="294"/>
      <c r="O16" s="294"/>
      <c r="P16" s="294"/>
    </row>
    <row r="17" spans="10:16">
      <c r="J17" s="375" t="str">
        <f ca="1">IF(O7&lt;0,"    ● Reduzir ","● Manter ")&amp;"a gordura absoluta entre "&amp;ABS(ROUND((L7-F7),1))&amp;" e "&amp;ROUND((I7-F7)*-1,1)&amp;" kg (~"&amp;ABS(ROUND(O7,1))&amp;IF(O7&lt;0,"%▼)","%▲)")</f>
        <v>● Manter a gordura absoluta entre 0,7 e 0 kg (~8,2%▲)</v>
      </c>
      <c r="K17" s="294"/>
      <c r="L17" s="294"/>
      <c r="M17" s="294"/>
      <c r="N17" s="294"/>
      <c r="O17" s="294"/>
      <c r="P17" s="294"/>
    </row>
    <row r="18" spans="10:16" ht="15.75" customHeight="1">
      <c r="J18" s="294"/>
      <c r="K18" s="294"/>
      <c r="L18" s="294"/>
      <c r="M18" s="294"/>
      <c r="N18" s="294"/>
      <c r="O18" s="294"/>
      <c r="P18" s="294"/>
    </row>
    <row r="19" spans="10:16">
      <c r="J19" s="375" t="str">
        <f ca="1">"    Dessa forma, seu percentual de gordura atingirá entre "&amp;I6&amp;" e "&amp;L6&amp;"% (~"&amp;ABS(ROUND(O6,1))&amp;IF(O6&lt;0,"%▼)","%▲)")</f>
        <v xml:space="preserve">    Dessa forma, seu percentual de gordura atingirá entre 7 e 8% (~8,7%▲)</v>
      </c>
      <c r="K19" s="294"/>
      <c r="L19" s="294"/>
      <c r="M19" s="294"/>
      <c r="N19" s="294"/>
      <c r="O19" s="294"/>
      <c r="P19" s="294"/>
    </row>
    <row r="20" spans="10:16" ht="15.75" customHeight="1">
      <c r="J20" s="294"/>
      <c r="K20" s="294"/>
      <c r="L20" s="294"/>
      <c r="M20" s="294"/>
      <c r="N20" s="294"/>
      <c r="O20" s="294"/>
      <c r="P20" s="294"/>
    </row>
    <row r="41" spans="1:17">
      <c r="A41" s="376" t="s">
        <v>222</v>
      </c>
      <c r="B41" s="324"/>
      <c r="C41" s="324"/>
      <c r="D41" s="324"/>
      <c r="E41" s="324"/>
      <c r="F41" s="324"/>
      <c r="G41" s="324"/>
      <c r="H41" s="324"/>
      <c r="I41" s="324"/>
      <c r="J41" s="324"/>
      <c r="K41" s="324"/>
      <c r="L41" s="324"/>
      <c r="M41" s="324"/>
      <c r="N41" s="324"/>
      <c r="O41" s="324"/>
      <c r="P41" s="324"/>
      <c r="Q41" s="42"/>
    </row>
    <row r="42" spans="1:17">
      <c r="A42" s="377" t="s">
        <v>223</v>
      </c>
      <c r="B42" s="294"/>
      <c r="C42" s="294"/>
      <c r="D42" s="294"/>
      <c r="E42" s="42"/>
      <c r="F42" s="315">
        <f ca="1">'BD tratado'!C37</f>
        <v>1530.441</v>
      </c>
      <c r="G42" s="294"/>
      <c r="H42" s="41"/>
      <c r="I42" s="377" t="s">
        <v>224</v>
      </c>
      <c r="J42" s="294"/>
      <c r="K42" s="294"/>
      <c r="L42" s="294"/>
      <c r="M42" s="42"/>
      <c r="N42" s="315" t="e">
        <f ca="1">'BD tratado'!C38</f>
        <v>#VALUE!</v>
      </c>
      <c r="O42" s="294"/>
      <c r="P42" s="294"/>
      <c r="Q42" s="41"/>
    </row>
    <row r="43" spans="1:17">
      <c r="A43" s="294"/>
      <c r="B43" s="294"/>
      <c r="C43" s="294"/>
      <c r="D43" s="294"/>
      <c r="E43" s="42"/>
      <c r="F43" s="294"/>
      <c r="G43" s="294"/>
      <c r="H43" s="41"/>
      <c r="I43" s="294"/>
      <c r="J43" s="294"/>
      <c r="K43" s="294"/>
      <c r="L43" s="294"/>
      <c r="M43" s="42"/>
      <c r="N43" s="294"/>
      <c r="O43" s="294"/>
      <c r="P43" s="294"/>
      <c r="Q43" s="42"/>
    </row>
    <row r="44" spans="1:17">
      <c r="A44" s="377" t="s">
        <v>225</v>
      </c>
      <c r="B44" s="294"/>
      <c r="C44" s="294"/>
      <c r="D44" s="294"/>
      <c r="E44" s="42"/>
      <c r="F44" s="315">
        <f ca="1">'BD tratado'!C36</f>
        <v>1630</v>
      </c>
      <c r="G44" s="294"/>
      <c r="H44" s="41"/>
      <c r="I44" s="294"/>
      <c r="J44" s="294"/>
      <c r="K44" s="294"/>
      <c r="L44" s="294"/>
      <c r="M44" s="42"/>
      <c r="N44" s="294"/>
      <c r="O44" s="294"/>
      <c r="P44" s="294"/>
      <c r="Q44" s="42"/>
    </row>
    <row r="45" spans="1:17">
      <c r="A45" s="317"/>
      <c r="B45" s="317"/>
      <c r="C45" s="317"/>
      <c r="D45" s="317"/>
      <c r="E45" s="54"/>
      <c r="F45" s="317"/>
      <c r="G45" s="317"/>
      <c r="H45" s="54"/>
      <c r="I45" s="317"/>
      <c r="J45" s="317"/>
      <c r="K45" s="317"/>
      <c r="L45" s="317"/>
      <c r="M45" s="54"/>
      <c r="N45" s="317"/>
      <c r="O45" s="317"/>
      <c r="P45" s="317"/>
      <c r="Q45" s="42"/>
    </row>
    <row r="46" spans="1:17">
      <c r="A46" s="41"/>
      <c r="B46" s="41"/>
      <c r="C46" s="41"/>
      <c r="D46" s="41"/>
      <c r="E46" s="41"/>
      <c r="F46" s="42"/>
      <c r="G46" s="42"/>
      <c r="H46" s="42"/>
      <c r="I46" s="42"/>
      <c r="J46" s="42"/>
      <c r="K46" s="42"/>
      <c r="L46" s="42"/>
      <c r="M46" s="42"/>
      <c r="N46" s="42"/>
      <c r="O46" s="42"/>
      <c r="P46" s="42"/>
      <c r="Q46" s="42"/>
    </row>
    <row r="47" spans="1:17">
      <c r="A47" s="41"/>
      <c r="B47" s="41"/>
      <c r="C47" s="41"/>
      <c r="D47" s="42"/>
      <c r="E47" s="42"/>
      <c r="F47" s="42"/>
      <c r="G47" s="42"/>
      <c r="H47" s="42"/>
      <c r="I47" s="42"/>
      <c r="J47" s="42"/>
      <c r="K47" s="42"/>
      <c r="L47" s="42"/>
      <c r="M47" s="42"/>
      <c r="N47" s="42"/>
      <c r="O47" s="42"/>
      <c r="P47" s="42"/>
      <c r="Q47" s="42"/>
    </row>
    <row r="48" spans="1:17">
      <c r="A48" s="351" t="s">
        <v>226</v>
      </c>
      <c r="B48" s="324"/>
      <c r="C48" s="324"/>
      <c r="D48" s="324"/>
      <c r="E48" s="59"/>
      <c r="F48" s="59"/>
      <c r="G48" s="326" t="s">
        <v>227</v>
      </c>
      <c r="H48" s="324"/>
      <c r="I48" s="59"/>
      <c r="J48" s="59"/>
      <c r="K48" s="326" t="s">
        <v>228</v>
      </c>
      <c r="L48" s="324"/>
      <c r="M48" s="59"/>
      <c r="N48" s="59"/>
      <c r="O48" s="326" t="s">
        <v>229</v>
      </c>
      <c r="P48" s="324"/>
      <c r="Q48" s="41"/>
    </row>
    <row r="49" spans="1:17">
      <c r="A49" s="368" t="s">
        <v>230</v>
      </c>
      <c r="B49" s="294"/>
      <c r="C49" s="294"/>
      <c r="D49" s="294"/>
      <c r="E49" s="62"/>
      <c r="F49" s="61"/>
      <c r="G49" s="369">
        <f ca="1">$F$10*20</f>
        <v>1372</v>
      </c>
      <c r="H49" s="294"/>
      <c r="I49" s="61"/>
      <c r="J49" s="61"/>
      <c r="K49" s="369">
        <f ca="1">$G$50</f>
        <v>1714.9999999999998</v>
      </c>
      <c r="L49" s="294"/>
      <c r="M49" s="61"/>
      <c r="N49" s="61"/>
      <c r="O49" s="369">
        <f t="shared" ref="O49:O51" ca="1" si="1">AVERAGE(G49,K49)</f>
        <v>1543.5</v>
      </c>
      <c r="P49" s="294"/>
      <c r="Q49" s="42"/>
    </row>
    <row r="50" spans="1:17">
      <c r="A50" s="368" t="s">
        <v>231</v>
      </c>
      <c r="B50" s="294"/>
      <c r="C50" s="294"/>
      <c r="D50" s="294"/>
      <c r="E50" s="61"/>
      <c r="F50" s="61"/>
      <c r="G50" s="369">
        <f ca="1">$F$10*25</f>
        <v>1714.9999999999998</v>
      </c>
      <c r="H50" s="294"/>
      <c r="I50" s="61"/>
      <c r="J50" s="61"/>
      <c r="K50" s="369">
        <f ca="1">$G$51</f>
        <v>2058</v>
      </c>
      <c r="L50" s="294"/>
      <c r="M50" s="61"/>
      <c r="N50" s="61"/>
      <c r="O50" s="369">
        <f t="shared" ca="1" si="1"/>
        <v>1886.5</v>
      </c>
      <c r="P50" s="294"/>
      <c r="Q50" s="42"/>
    </row>
    <row r="51" spans="1:17">
      <c r="A51" s="371" t="s">
        <v>232</v>
      </c>
      <c r="B51" s="317"/>
      <c r="C51" s="317"/>
      <c r="D51" s="317"/>
      <c r="E51" s="63"/>
      <c r="F51" s="63"/>
      <c r="G51" s="370">
        <f ca="1">$F$10*30</f>
        <v>2058</v>
      </c>
      <c r="H51" s="317"/>
      <c r="I51" s="63"/>
      <c r="J51" s="63"/>
      <c r="K51" s="370">
        <f ca="1">$F$10*35</f>
        <v>2401</v>
      </c>
      <c r="L51" s="317"/>
      <c r="M51" s="63"/>
      <c r="N51" s="63"/>
      <c r="O51" s="370">
        <f t="shared" ca="1" si="1"/>
        <v>2229.5</v>
      </c>
      <c r="P51" s="317"/>
      <c r="Q51" s="42"/>
    </row>
    <row r="52" spans="1:17">
      <c r="A52" s="42"/>
      <c r="B52" s="42"/>
      <c r="C52" s="42"/>
      <c r="D52" s="42"/>
      <c r="E52" s="42"/>
      <c r="F52" s="42"/>
      <c r="G52" s="42"/>
      <c r="H52" s="42"/>
      <c r="I52" s="42"/>
      <c r="J52" s="42"/>
      <c r="K52" s="42"/>
      <c r="L52" s="42"/>
      <c r="M52" s="42"/>
      <c r="N52" s="42"/>
      <c r="O52" s="42"/>
      <c r="P52" s="42"/>
      <c r="Q52" s="42"/>
    </row>
    <row r="53" spans="1:17">
      <c r="A53" s="325" t="s">
        <v>233</v>
      </c>
      <c r="B53" s="324"/>
      <c r="C53" s="344" t="s">
        <v>234</v>
      </c>
      <c r="D53" s="324"/>
      <c r="E53" s="344" t="s">
        <v>235</v>
      </c>
      <c r="F53" s="324"/>
      <c r="G53" s="344" t="s">
        <v>236</v>
      </c>
      <c r="H53" s="324"/>
      <c r="I53" s="344" t="s">
        <v>237</v>
      </c>
      <c r="J53" s="324"/>
      <c r="K53" s="344" t="s">
        <v>238</v>
      </c>
      <c r="L53" s="324"/>
      <c r="M53" s="344" t="s">
        <v>239</v>
      </c>
      <c r="N53" s="324"/>
      <c r="O53" s="344" t="s">
        <v>240</v>
      </c>
      <c r="P53" s="324"/>
      <c r="Q53" s="41"/>
    </row>
    <row r="54" spans="1:17">
      <c r="A54" s="372" t="s">
        <v>241</v>
      </c>
      <c r="B54" s="294"/>
      <c r="C54" s="367" t="e">
        <f ca="1">$N$42</f>
        <v>#VALUE!</v>
      </c>
      <c r="D54" s="294"/>
      <c r="E54" s="367" t="e">
        <f ca="1">$N$42</f>
        <v>#VALUE!</v>
      </c>
      <c r="F54" s="294"/>
      <c r="G54" s="367" t="e">
        <f ca="1">$N$42</f>
        <v>#VALUE!</v>
      </c>
      <c r="H54" s="294"/>
      <c r="I54" s="367" t="e">
        <f ca="1">$N$42</f>
        <v>#VALUE!</v>
      </c>
      <c r="J54" s="294"/>
      <c r="K54" s="367" t="e">
        <f ca="1">$N$42</f>
        <v>#VALUE!</v>
      </c>
      <c r="L54" s="294"/>
      <c r="M54" s="367" t="e">
        <f ca="1">$N$42</f>
        <v>#VALUE!</v>
      </c>
      <c r="N54" s="294"/>
      <c r="O54" s="367" t="e">
        <f ca="1">$N$42</f>
        <v>#VALUE!</v>
      </c>
      <c r="P54" s="294"/>
      <c r="Q54" s="42"/>
    </row>
    <row r="55" spans="1:17">
      <c r="A55" s="373" t="s">
        <v>242</v>
      </c>
      <c r="B55" s="294"/>
      <c r="C55" s="346">
        <f ca="1">O75</f>
        <v>270.11250000000007</v>
      </c>
      <c r="D55" s="294"/>
      <c r="E55" s="346">
        <f ca="1">O76</f>
        <v>705.60588000000007</v>
      </c>
      <c r="F55" s="294"/>
      <c r="G55" s="346">
        <f ca="1">O77</f>
        <v>1741.97352</v>
      </c>
      <c r="H55" s="294"/>
      <c r="I55" s="346">
        <f ca="1">O78</f>
        <v>270.11250000000007</v>
      </c>
      <c r="J55" s="294"/>
      <c r="K55" s="346">
        <f ca="1">O79</f>
        <v>270.11250000000007</v>
      </c>
      <c r="L55" s="294"/>
      <c r="M55" s="346">
        <f ca="1">O80</f>
        <v>0</v>
      </c>
      <c r="N55" s="294"/>
      <c r="O55" s="346">
        <f ca="1">O81</f>
        <v>1741.97352</v>
      </c>
      <c r="P55" s="294"/>
      <c r="Q55" s="42"/>
    </row>
    <row r="56" spans="1:17">
      <c r="A56" s="294"/>
      <c r="B56" s="294"/>
      <c r="C56" s="294"/>
      <c r="D56" s="294"/>
      <c r="E56" s="294"/>
      <c r="F56" s="294"/>
      <c r="G56" s="294"/>
      <c r="H56" s="294"/>
      <c r="I56" s="294"/>
      <c r="J56" s="294"/>
      <c r="K56" s="294"/>
      <c r="L56" s="294"/>
      <c r="M56" s="294"/>
      <c r="N56" s="294"/>
      <c r="O56" s="294"/>
      <c r="P56" s="294"/>
      <c r="Q56" s="42"/>
    </row>
    <row r="57" spans="1:17">
      <c r="A57" s="294"/>
      <c r="B57" s="294"/>
      <c r="C57" s="294"/>
      <c r="D57" s="294"/>
      <c r="E57" s="294"/>
      <c r="F57" s="294"/>
      <c r="G57" s="294"/>
      <c r="H57" s="294"/>
      <c r="I57" s="294"/>
      <c r="J57" s="294"/>
      <c r="K57" s="294"/>
      <c r="L57" s="294"/>
      <c r="M57" s="294"/>
      <c r="N57" s="294"/>
      <c r="O57" s="294"/>
      <c r="P57" s="294"/>
      <c r="Q57" s="42"/>
    </row>
    <row r="58" spans="1:17">
      <c r="A58" s="373" t="s">
        <v>243</v>
      </c>
      <c r="B58" s="294"/>
      <c r="C58" s="346"/>
      <c r="D58" s="294"/>
      <c r="E58" s="346"/>
      <c r="F58" s="294"/>
      <c r="G58" s="346"/>
      <c r="H58" s="294"/>
      <c r="I58" s="346"/>
      <c r="J58" s="294"/>
      <c r="K58" s="346"/>
      <c r="L58" s="294"/>
      <c r="M58" s="346"/>
      <c r="N58" s="294"/>
      <c r="O58" s="346"/>
      <c r="P58" s="294"/>
      <c r="Q58" s="42"/>
    </row>
    <row r="59" spans="1:17">
      <c r="A59" s="294"/>
      <c r="B59" s="294"/>
      <c r="C59" s="294"/>
      <c r="D59" s="294"/>
      <c r="E59" s="294"/>
      <c r="F59" s="294"/>
      <c r="G59" s="294"/>
      <c r="H59" s="294"/>
      <c r="I59" s="294"/>
      <c r="J59" s="294"/>
      <c r="K59" s="294"/>
      <c r="L59" s="294"/>
      <c r="M59" s="294"/>
      <c r="N59" s="294"/>
      <c r="O59" s="294"/>
      <c r="P59" s="294"/>
      <c r="Q59" s="42"/>
    </row>
    <row r="60" spans="1:17">
      <c r="A60" s="373" t="s">
        <v>244</v>
      </c>
      <c r="B60" s="294"/>
      <c r="C60" s="367" t="e">
        <f ca="1">C54+C55+C58</f>
        <v>#VALUE!</v>
      </c>
      <c r="D60" s="294"/>
      <c r="E60" s="367" t="e">
        <f ca="1">E54+E55+E58</f>
        <v>#VALUE!</v>
      </c>
      <c r="F60" s="294"/>
      <c r="G60" s="367" t="e">
        <f ca="1">G54+G55+G58</f>
        <v>#VALUE!</v>
      </c>
      <c r="H60" s="294"/>
      <c r="I60" s="367" t="e">
        <f ca="1">I54+I55+I58</f>
        <v>#VALUE!</v>
      </c>
      <c r="J60" s="294"/>
      <c r="K60" s="367" t="e">
        <f ca="1">K54+K55+K58</f>
        <v>#VALUE!</v>
      </c>
      <c r="L60" s="294"/>
      <c r="M60" s="367" t="e">
        <f ca="1">M54+M55+M58</f>
        <v>#VALUE!</v>
      </c>
      <c r="N60" s="294"/>
      <c r="O60" s="367" t="e">
        <f ca="1">O54+O55+O58</f>
        <v>#VALUE!</v>
      </c>
      <c r="P60" s="294"/>
      <c r="Q60" s="42"/>
    </row>
    <row r="61" spans="1:17">
      <c r="A61" s="317"/>
      <c r="B61" s="317"/>
      <c r="C61" s="317"/>
      <c r="D61" s="317"/>
      <c r="E61" s="317"/>
      <c r="F61" s="317"/>
      <c r="G61" s="317"/>
      <c r="H61" s="317"/>
      <c r="I61" s="317"/>
      <c r="J61" s="317"/>
      <c r="K61" s="317"/>
      <c r="L61" s="317"/>
      <c r="M61" s="317"/>
      <c r="N61" s="317"/>
      <c r="O61" s="317"/>
      <c r="P61" s="317"/>
      <c r="Q61" s="42"/>
    </row>
    <row r="62" spans="1:17">
      <c r="A62" s="42"/>
      <c r="B62" s="42"/>
      <c r="C62" s="41"/>
      <c r="D62" s="41"/>
      <c r="E62" s="41"/>
      <c r="F62" s="41"/>
      <c r="G62" s="41"/>
      <c r="H62" s="41"/>
      <c r="I62" s="41"/>
      <c r="J62" s="41"/>
      <c r="K62" s="41"/>
      <c r="L62" s="41"/>
      <c r="M62" s="41"/>
      <c r="N62" s="41"/>
      <c r="O62" s="41"/>
      <c r="P62" s="41"/>
      <c r="Q62" s="42"/>
    </row>
    <row r="63" spans="1:17">
      <c r="A63" s="325"/>
      <c r="B63" s="324"/>
      <c r="C63" s="324"/>
      <c r="D63" s="59"/>
      <c r="E63" s="59"/>
      <c r="F63" s="59"/>
      <c r="G63" s="59"/>
      <c r="H63" s="326" t="s">
        <v>245</v>
      </c>
      <c r="I63" s="324"/>
      <c r="J63" s="324"/>
      <c r="K63" s="59"/>
      <c r="L63" s="59"/>
      <c r="M63" s="326" t="s">
        <v>246</v>
      </c>
      <c r="N63" s="324"/>
      <c r="O63" s="324"/>
      <c r="P63" s="59"/>
      <c r="Q63" s="42"/>
    </row>
    <row r="64" spans="1:17">
      <c r="A64" s="327" t="s">
        <v>241</v>
      </c>
      <c r="B64" s="294"/>
      <c r="C64" s="294"/>
      <c r="D64" s="42"/>
      <c r="E64" s="41"/>
      <c r="F64" s="41"/>
      <c r="G64" s="41"/>
      <c r="H64" s="315" t="e">
        <f t="shared" ref="H64:H65" ca="1" si="2">SUM(C54:P54)</f>
        <v>#VALUE!</v>
      </c>
      <c r="I64" s="294"/>
      <c r="J64" s="294"/>
      <c r="K64" s="41"/>
      <c r="L64" s="41"/>
      <c r="M64" s="315" t="e">
        <f t="shared" ref="M64:M66" ca="1" si="3">H64/7</f>
        <v>#VALUE!</v>
      </c>
      <c r="N64" s="294"/>
      <c r="O64" s="294"/>
      <c r="P64" s="41"/>
      <c r="Q64" s="42"/>
    </row>
    <row r="65" spans="1:17">
      <c r="A65" s="328" t="s">
        <v>242</v>
      </c>
      <c r="B65" s="294"/>
      <c r="C65" s="294"/>
      <c r="D65" s="294"/>
      <c r="E65" s="294"/>
      <c r="F65" s="294"/>
      <c r="G65" s="41"/>
      <c r="H65" s="315">
        <f t="shared" ca="1" si="2"/>
        <v>4999.8904200000006</v>
      </c>
      <c r="I65" s="294"/>
      <c r="J65" s="294"/>
      <c r="K65" s="41"/>
      <c r="L65" s="41"/>
      <c r="M65" s="315">
        <f t="shared" ca="1" si="3"/>
        <v>714.27006000000006</v>
      </c>
      <c r="N65" s="294"/>
      <c r="O65" s="294"/>
      <c r="P65" s="41"/>
      <c r="Q65" s="42"/>
    </row>
    <row r="66" spans="1:17">
      <c r="A66" s="333" t="s">
        <v>244</v>
      </c>
      <c r="B66" s="317"/>
      <c r="C66" s="317"/>
      <c r="D66" s="317"/>
      <c r="E66" s="317"/>
      <c r="F66" s="317"/>
      <c r="G66" s="46"/>
      <c r="H66" s="316" t="e">
        <f ca="1">SUM(C60:P61)</f>
        <v>#VALUE!</v>
      </c>
      <c r="I66" s="317"/>
      <c r="J66" s="317"/>
      <c r="K66" s="46"/>
      <c r="L66" s="46"/>
      <c r="M66" s="316" t="e">
        <f t="shared" ca="1" si="3"/>
        <v>#VALUE!</v>
      </c>
      <c r="N66" s="317"/>
      <c r="O66" s="317"/>
      <c r="P66" s="46"/>
      <c r="Q66" s="42"/>
    </row>
    <row r="67" spans="1:17">
      <c r="A67" s="328" t="s">
        <v>247</v>
      </c>
      <c r="B67" s="294"/>
      <c r="C67" s="294"/>
      <c r="D67" s="294"/>
      <c r="E67" s="294"/>
      <c r="F67" s="294"/>
      <c r="G67" s="41"/>
      <c r="H67" s="315">
        <f ca="1">$M$67*7</f>
        <v>18295.62</v>
      </c>
      <c r="I67" s="294"/>
      <c r="J67" s="294"/>
      <c r="K67" s="51"/>
      <c r="L67" s="51"/>
      <c r="M67" s="315">
        <f ca="1">$M$88</f>
        <v>2613.66</v>
      </c>
      <c r="N67" s="294"/>
      <c r="O67" s="294"/>
      <c r="P67" s="42"/>
      <c r="Q67" s="42"/>
    </row>
    <row r="68" spans="1:17">
      <c r="A68" s="334" t="s">
        <v>248</v>
      </c>
      <c r="B68" s="319"/>
      <c r="C68" s="319"/>
      <c r="D68" s="319"/>
      <c r="E68" s="319"/>
      <c r="F68" s="319"/>
      <c r="G68" s="44"/>
      <c r="H68" s="318" t="e">
        <f ca="1">H67-H66</f>
        <v>#VALUE!</v>
      </c>
      <c r="I68" s="319"/>
      <c r="J68" s="319"/>
      <c r="K68" s="65"/>
      <c r="L68" s="65"/>
      <c r="M68" s="318" t="e">
        <f ca="1">M67-M66</f>
        <v>#VALUE!</v>
      </c>
      <c r="N68" s="319"/>
      <c r="O68" s="319"/>
      <c r="P68" s="66"/>
      <c r="Q68" s="42"/>
    </row>
    <row r="69" spans="1:17">
      <c r="A69" s="333" t="s">
        <v>249</v>
      </c>
      <c r="B69" s="317"/>
      <c r="C69" s="317"/>
      <c r="D69" s="317"/>
      <c r="E69" s="317"/>
      <c r="F69" s="317"/>
      <c r="G69" s="46"/>
      <c r="H69" s="320" t="e">
        <f ca="1">H68/H66</f>
        <v>#VALUE!</v>
      </c>
      <c r="I69" s="317"/>
      <c r="J69" s="317"/>
      <c r="K69" s="67"/>
      <c r="L69" s="67"/>
      <c r="M69" s="320" t="e">
        <f ca="1">M68/M66</f>
        <v>#VALUE!</v>
      </c>
      <c r="N69" s="317"/>
      <c r="O69" s="317"/>
      <c r="P69" s="46"/>
      <c r="Q69" s="42"/>
    </row>
    <row r="70" spans="1:17">
      <c r="A70" s="41"/>
      <c r="B70" s="41"/>
      <c r="C70" s="41"/>
      <c r="D70" s="41"/>
      <c r="E70" s="41"/>
      <c r="F70" s="41"/>
      <c r="G70" s="41"/>
      <c r="H70" s="41"/>
      <c r="I70" s="41"/>
      <c r="J70" s="41"/>
      <c r="K70" s="41"/>
      <c r="L70" s="41"/>
      <c r="M70" s="41"/>
      <c r="N70" s="41"/>
      <c r="O70" s="41"/>
      <c r="P70" s="41"/>
      <c r="Q70" s="42"/>
    </row>
    <row r="71" spans="1:17">
      <c r="A71" s="68"/>
      <c r="B71" s="68"/>
      <c r="C71" s="68"/>
      <c r="D71" s="68"/>
      <c r="E71" s="68"/>
      <c r="F71" s="68"/>
      <c r="G71" s="68"/>
      <c r="H71" s="68"/>
      <c r="I71" s="68"/>
      <c r="J71" s="68"/>
      <c r="K71" s="68"/>
      <c r="L71" s="68"/>
      <c r="M71" s="68"/>
      <c r="N71" s="68"/>
      <c r="O71" s="68"/>
      <c r="P71" s="68"/>
      <c r="Q71" s="42"/>
    </row>
    <row r="72" spans="1:17">
      <c r="A72" s="323" t="s">
        <v>250</v>
      </c>
      <c r="B72" s="324"/>
      <c r="C72" s="324"/>
      <c r="D72" s="324"/>
      <c r="E72" s="324"/>
      <c r="F72" s="324"/>
      <c r="G72" s="324"/>
      <c r="H72" s="324"/>
      <c r="I72" s="324"/>
      <c r="J72" s="324"/>
      <c r="K72" s="324"/>
      <c r="L72" s="324"/>
      <c r="M72" s="324"/>
      <c r="N72" s="324"/>
      <c r="O72" s="324"/>
      <c r="P72" s="324"/>
      <c r="Q72" s="42"/>
    </row>
    <row r="73" spans="1:17">
      <c r="A73" s="313" t="s">
        <v>251</v>
      </c>
      <c r="B73" s="294"/>
      <c r="C73" s="68"/>
      <c r="D73" s="313" t="s">
        <v>252</v>
      </c>
      <c r="E73" s="294"/>
      <c r="F73" s="294"/>
      <c r="G73" s="70"/>
      <c r="H73" s="313" t="s">
        <v>253</v>
      </c>
      <c r="I73" s="294"/>
      <c r="J73" s="294"/>
      <c r="K73" s="70"/>
      <c r="L73" s="321" t="s">
        <v>254</v>
      </c>
      <c r="M73" s="294"/>
      <c r="N73" s="70"/>
      <c r="O73" s="313" t="s">
        <v>255</v>
      </c>
      <c r="P73" s="294"/>
      <c r="Q73" s="42"/>
    </row>
    <row r="74" spans="1:17">
      <c r="A74" s="294"/>
      <c r="B74" s="294"/>
      <c r="D74" s="294"/>
      <c r="E74" s="294"/>
      <c r="F74" s="294"/>
      <c r="H74" s="294"/>
      <c r="I74" s="294"/>
      <c r="J74" s="294"/>
      <c r="L74" s="294"/>
      <c r="M74" s="294"/>
      <c r="O74" s="294"/>
      <c r="P74" s="294"/>
      <c r="Q74" s="42"/>
    </row>
    <row r="75" spans="1:17">
      <c r="A75" s="331" t="s">
        <v>234</v>
      </c>
      <c r="B75" s="294"/>
      <c r="C75" s="68"/>
      <c r="D75" s="314">
        <v>45</v>
      </c>
      <c r="E75" s="294"/>
      <c r="F75" s="294"/>
      <c r="G75" s="68"/>
      <c r="H75" s="314"/>
      <c r="I75" s="294"/>
      <c r="J75" s="294"/>
      <c r="K75" s="68"/>
      <c r="L75" s="322"/>
      <c r="M75" s="294"/>
      <c r="N75" s="68"/>
      <c r="O75" s="329">
        <f t="shared" ref="O75:O81" ca="1" si="4">(0.0175*$F$10*H75*L75*($C$82/3.5))+(0.0175*$F$10*D75*5)</f>
        <v>270.11250000000007</v>
      </c>
      <c r="P75" s="294"/>
      <c r="Q75" s="42"/>
    </row>
    <row r="76" spans="1:17">
      <c r="A76" s="331" t="s">
        <v>235</v>
      </c>
      <c r="B76" s="294"/>
      <c r="C76" s="68"/>
      <c r="D76" s="314">
        <v>45</v>
      </c>
      <c r="E76" s="294"/>
      <c r="F76" s="294"/>
      <c r="G76" s="68"/>
      <c r="H76" s="314">
        <v>30</v>
      </c>
      <c r="I76" s="294"/>
      <c r="J76" s="294"/>
      <c r="K76" s="68"/>
      <c r="L76" s="322">
        <v>0.7</v>
      </c>
      <c r="M76" s="294"/>
      <c r="N76" s="68"/>
      <c r="O76" s="329">
        <f t="shared" ca="1" si="4"/>
        <v>705.60588000000007</v>
      </c>
      <c r="P76" s="294"/>
      <c r="Q76" s="42"/>
    </row>
    <row r="77" spans="1:17">
      <c r="A77" s="331" t="s">
        <v>236</v>
      </c>
      <c r="B77" s="294"/>
      <c r="C77" s="68"/>
      <c r="D77" s="314"/>
      <c r="E77" s="294"/>
      <c r="F77" s="294"/>
      <c r="G77" s="68"/>
      <c r="H77" s="314">
        <v>120</v>
      </c>
      <c r="I77" s="294"/>
      <c r="J77" s="294"/>
      <c r="K77" s="68"/>
      <c r="L77" s="322">
        <v>0.7</v>
      </c>
      <c r="M77" s="294"/>
      <c r="N77" s="68"/>
      <c r="O77" s="329">
        <f t="shared" ca="1" si="4"/>
        <v>1741.97352</v>
      </c>
      <c r="P77" s="294"/>
      <c r="Q77" s="42"/>
    </row>
    <row r="78" spans="1:17">
      <c r="A78" s="331" t="s">
        <v>237</v>
      </c>
      <c r="B78" s="294"/>
      <c r="C78" s="68"/>
      <c r="D78" s="314">
        <v>45</v>
      </c>
      <c r="E78" s="294"/>
      <c r="F78" s="294"/>
      <c r="G78" s="68"/>
      <c r="H78" s="314"/>
      <c r="I78" s="294"/>
      <c r="J78" s="294"/>
      <c r="K78" s="68"/>
      <c r="L78" s="322"/>
      <c r="M78" s="294"/>
      <c r="N78" s="68"/>
      <c r="O78" s="329">
        <f t="shared" ca="1" si="4"/>
        <v>270.11250000000007</v>
      </c>
      <c r="P78" s="294"/>
      <c r="Q78" s="42"/>
    </row>
    <row r="79" spans="1:17">
      <c r="A79" s="331" t="s">
        <v>238</v>
      </c>
      <c r="B79" s="294"/>
      <c r="C79" s="68"/>
      <c r="D79" s="314">
        <v>45</v>
      </c>
      <c r="E79" s="294"/>
      <c r="F79" s="294"/>
      <c r="G79" s="68"/>
      <c r="H79" s="314"/>
      <c r="I79" s="294"/>
      <c r="J79" s="294"/>
      <c r="K79" s="68"/>
      <c r="L79" s="322"/>
      <c r="M79" s="294"/>
      <c r="N79" s="68"/>
      <c r="O79" s="329">
        <f t="shared" ca="1" si="4"/>
        <v>270.11250000000007</v>
      </c>
      <c r="P79" s="294"/>
      <c r="Q79" s="42"/>
    </row>
    <row r="80" spans="1:17">
      <c r="A80" s="331" t="s">
        <v>239</v>
      </c>
      <c r="B80" s="294"/>
      <c r="C80" s="68"/>
      <c r="D80" s="314"/>
      <c r="E80" s="294"/>
      <c r="F80" s="294"/>
      <c r="G80" s="68"/>
      <c r="H80" s="314"/>
      <c r="I80" s="294"/>
      <c r="J80" s="294"/>
      <c r="K80" s="68"/>
      <c r="L80" s="322"/>
      <c r="M80" s="294"/>
      <c r="N80" s="68"/>
      <c r="O80" s="329">
        <f t="shared" ca="1" si="4"/>
        <v>0</v>
      </c>
      <c r="P80" s="294"/>
      <c r="Q80" s="42"/>
    </row>
    <row r="81" spans="1:17">
      <c r="A81" s="332" t="s">
        <v>240</v>
      </c>
      <c r="B81" s="317"/>
      <c r="C81" s="71"/>
      <c r="D81" s="337"/>
      <c r="E81" s="317"/>
      <c r="F81" s="317"/>
      <c r="G81" s="71"/>
      <c r="H81" s="337">
        <f>120</f>
        <v>120</v>
      </c>
      <c r="I81" s="317"/>
      <c r="J81" s="317"/>
      <c r="K81" s="71"/>
      <c r="L81" s="335">
        <v>0.7</v>
      </c>
      <c r="M81" s="317"/>
      <c r="N81" s="71"/>
      <c r="O81" s="330">
        <f t="shared" ca="1" si="4"/>
        <v>1741.97352</v>
      </c>
      <c r="P81" s="317"/>
      <c r="Q81" s="42"/>
    </row>
    <row r="82" spans="1:17">
      <c r="A82" s="307" t="s">
        <v>256</v>
      </c>
      <c r="B82" s="294"/>
      <c r="C82" s="314">
        <f ca="1">K82</f>
        <v>60.46</v>
      </c>
      <c r="D82" s="294"/>
      <c r="E82" s="336" t="s">
        <v>257</v>
      </c>
      <c r="F82" s="294"/>
      <c r="G82" s="68"/>
      <c r="H82" s="331" t="s">
        <v>258</v>
      </c>
      <c r="I82" s="294"/>
      <c r="J82" s="294"/>
      <c r="K82" s="331">
        <f ca="1">'BD tratado'!$C$138</f>
        <v>60.46</v>
      </c>
      <c r="L82" s="294"/>
      <c r="M82" s="336" t="s">
        <v>257</v>
      </c>
      <c r="N82" s="294"/>
      <c r="O82" s="68"/>
      <c r="P82" s="68"/>
      <c r="Q82" s="42"/>
    </row>
    <row r="83" spans="1:17">
      <c r="A83" s="41"/>
      <c r="B83" s="41"/>
      <c r="C83" s="41"/>
      <c r="D83" s="41"/>
      <c r="E83" s="41"/>
      <c r="F83" s="41"/>
      <c r="G83" s="41"/>
      <c r="H83" s="41"/>
      <c r="I83" s="41"/>
      <c r="J83" s="41"/>
      <c r="K83" s="41"/>
      <c r="L83" s="41"/>
      <c r="M83" s="41"/>
      <c r="N83" s="41"/>
      <c r="O83" s="41"/>
      <c r="P83" s="41"/>
      <c r="Q83" s="42"/>
    </row>
    <row r="84" spans="1:17">
      <c r="A84" s="351" t="s">
        <v>259</v>
      </c>
      <c r="B84" s="324"/>
      <c r="C84" s="324"/>
      <c r="D84" s="324"/>
      <c r="E84" s="324"/>
      <c r="F84" s="324"/>
      <c r="G84" s="324"/>
      <c r="H84" s="41"/>
      <c r="I84" s="343" t="s">
        <v>260</v>
      </c>
      <c r="J84" s="324"/>
      <c r="K84" s="324"/>
      <c r="L84" s="60" t="s">
        <v>261</v>
      </c>
      <c r="M84" s="60" t="s">
        <v>262</v>
      </c>
      <c r="N84" s="326" t="s">
        <v>263</v>
      </c>
      <c r="O84" s="324"/>
      <c r="P84" s="60" t="s">
        <v>264</v>
      </c>
      <c r="Q84" s="42"/>
    </row>
    <row r="85" spans="1:17">
      <c r="A85" s="339" t="s">
        <v>265</v>
      </c>
      <c r="B85" s="294"/>
      <c r="C85" s="294"/>
      <c r="D85" s="294"/>
      <c r="E85" s="346">
        <v>15.7</v>
      </c>
      <c r="F85" s="294"/>
      <c r="G85" s="294"/>
      <c r="H85" s="41"/>
      <c r="I85" s="339" t="s">
        <v>266</v>
      </c>
      <c r="J85" s="294"/>
      <c r="K85" s="294"/>
      <c r="L85" s="73">
        <v>2</v>
      </c>
      <c r="M85" s="49">
        <f t="shared" ref="M85:M87" ca="1" si="5">L85*IF($J$90,$F$8,$F$10)</f>
        <v>137.19999999999999</v>
      </c>
      <c r="N85" s="315">
        <f t="shared" ref="N85:N86" ca="1" si="6">M85*4</f>
        <v>548.79999999999995</v>
      </c>
      <c r="O85" s="294"/>
      <c r="P85" s="49">
        <f t="shared" ref="P85:P87" ca="1" si="7">IF(L85,(N85/$M$88)*100,"")</f>
        <v>20.99737532808399</v>
      </c>
      <c r="Q85" s="42"/>
    </row>
    <row r="86" spans="1:17">
      <c r="A86" s="294"/>
      <c r="B86" s="294"/>
      <c r="C86" s="294"/>
      <c r="D86" s="294"/>
      <c r="E86" s="294"/>
      <c r="F86" s="294"/>
      <c r="G86" s="294"/>
      <c r="H86" s="41"/>
      <c r="I86" s="339" t="s">
        <v>267</v>
      </c>
      <c r="J86" s="294"/>
      <c r="K86" s="294"/>
      <c r="L86" s="73">
        <v>5.5</v>
      </c>
      <c r="M86" s="49">
        <f t="shared" ca="1" si="5"/>
        <v>377.29999999999995</v>
      </c>
      <c r="N86" s="315">
        <f t="shared" ca="1" si="6"/>
        <v>1509.1999999999998</v>
      </c>
      <c r="O86" s="294"/>
      <c r="P86" s="49">
        <f t="shared" ca="1" si="7"/>
        <v>57.742782152230966</v>
      </c>
      <c r="Q86" s="42"/>
    </row>
    <row r="87" spans="1:17">
      <c r="A87" s="339" t="s">
        <v>268</v>
      </c>
      <c r="B87" s="294"/>
      <c r="C87" s="294"/>
      <c r="D87" s="294"/>
      <c r="E87" s="340" t="e">
        <f ca="1">_xludf.IFS($E$85&lt;-3,"Hipocalórica",$E$85&lt;3,"Isocalórica",TRUE(),"Hipercalórica")</f>
        <v>#NAME?</v>
      </c>
      <c r="F87" s="294"/>
      <c r="G87" s="294"/>
      <c r="H87" s="41"/>
      <c r="I87" s="339" t="s">
        <v>269</v>
      </c>
      <c r="J87" s="294"/>
      <c r="K87" s="294"/>
      <c r="L87" s="73">
        <v>0.9</v>
      </c>
      <c r="M87" s="49">
        <f t="shared" ca="1" si="5"/>
        <v>61.739999999999995</v>
      </c>
      <c r="N87" s="315">
        <f ca="1">M87*9</f>
        <v>555.66</v>
      </c>
      <c r="O87" s="294"/>
      <c r="P87" s="49">
        <f t="shared" ca="1" si="7"/>
        <v>21.259842519685041</v>
      </c>
      <c r="Q87" s="42"/>
    </row>
    <row r="88" spans="1:17">
      <c r="A88" s="339" t="s">
        <v>270</v>
      </c>
      <c r="B88" s="294"/>
      <c r="C88" s="294"/>
      <c r="D88" s="294"/>
      <c r="E88" s="315" t="e">
        <f ca="1">(E89-M65)/F8</f>
        <v>#VALUE!</v>
      </c>
      <c r="F88" s="294"/>
      <c r="G88" s="294"/>
      <c r="H88" s="41"/>
      <c r="I88" s="351" t="s">
        <v>271</v>
      </c>
      <c r="J88" s="324"/>
      <c r="K88" s="324"/>
      <c r="L88" s="59"/>
      <c r="M88" s="349">
        <f ca="1">SUM(N85:N87)</f>
        <v>2613.66</v>
      </c>
      <c r="N88" s="324"/>
      <c r="O88" s="324"/>
      <c r="P88" s="324"/>
      <c r="Q88" s="42"/>
    </row>
    <row r="89" spans="1:17">
      <c r="A89" s="353" t="s">
        <v>272</v>
      </c>
      <c r="B89" s="319"/>
      <c r="C89" s="319"/>
      <c r="D89" s="319"/>
      <c r="E89" s="318" t="e">
        <f ca="1">M66*(100+E85)/100</f>
        <v>#VALUE!</v>
      </c>
      <c r="F89" s="319"/>
      <c r="G89" s="319"/>
      <c r="H89" s="42"/>
      <c r="I89" s="42"/>
      <c r="J89" s="42"/>
      <c r="K89" s="42"/>
      <c r="L89" s="42"/>
      <c r="M89" s="42"/>
      <c r="N89" s="42"/>
      <c r="O89" s="42"/>
      <c r="P89" s="42"/>
      <c r="Q89" s="42"/>
    </row>
    <row r="90" spans="1:17">
      <c r="A90" s="317"/>
      <c r="B90" s="317"/>
      <c r="C90" s="317"/>
      <c r="D90" s="317"/>
      <c r="E90" s="317"/>
      <c r="F90" s="317"/>
      <c r="G90" s="317"/>
      <c r="H90" s="42"/>
      <c r="I90" s="42"/>
      <c r="J90" s="42" t="b">
        <v>0</v>
      </c>
      <c r="K90" s="352" t="s">
        <v>273</v>
      </c>
      <c r="L90" s="294"/>
      <c r="M90" s="294"/>
      <c r="N90" s="294"/>
      <c r="O90" s="294"/>
      <c r="P90" s="294"/>
      <c r="Q90" s="42"/>
    </row>
    <row r="91" spans="1:17">
      <c r="A91" s="42"/>
      <c r="B91" s="42"/>
      <c r="C91" s="42"/>
      <c r="D91" s="42"/>
      <c r="E91" s="42"/>
      <c r="F91" s="42"/>
      <c r="G91" s="42"/>
      <c r="H91" s="42"/>
      <c r="I91" s="42"/>
      <c r="J91" s="42"/>
      <c r="K91" s="42"/>
      <c r="L91" s="42"/>
      <c r="M91" s="42"/>
      <c r="N91" s="42"/>
      <c r="O91" s="42"/>
      <c r="P91" s="42"/>
      <c r="Q91" s="42"/>
    </row>
    <row r="92" spans="1:17">
      <c r="A92" s="353" t="s">
        <v>274</v>
      </c>
      <c r="B92" s="319"/>
      <c r="C92" s="319"/>
      <c r="D92" s="319"/>
      <c r="E92" s="319"/>
      <c r="F92" s="354" t="e">
        <f ca="1">M68</f>
        <v>#VALUE!</v>
      </c>
      <c r="G92" s="319"/>
      <c r="H92" s="41"/>
      <c r="Q92" s="42"/>
    </row>
    <row r="93" spans="1:17">
      <c r="A93" s="294"/>
      <c r="B93" s="294"/>
      <c r="C93" s="294"/>
      <c r="D93" s="294"/>
      <c r="E93" s="294"/>
      <c r="F93" s="294"/>
      <c r="G93" s="294"/>
      <c r="H93" s="41"/>
      <c r="Q93" s="42"/>
    </row>
    <row r="94" spans="1:17">
      <c r="A94" s="339" t="s">
        <v>275</v>
      </c>
      <c r="B94" s="294"/>
      <c r="C94" s="294"/>
      <c r="D94" s="294"/>
      <c r="E94" s="294"/>
      <c r="F94" s="355" t="e">
        <f ca="1">M69</f>
        <v>#VALUE!</v>
      </c>
      <c r="G94" s="294"/>
      <c r="H94" s="41"/>
      <c r="Q94" s="42"/>
    </row>
    <row r="95" spans="1:17">
      <c r="A95" s="317"/>
      <c r="B95" s="317"/>
      <c r="C95" s="317"/>
      <c r="D95" s="317"/>
      <c r="E95" s="317"/>
      <c r="F95" s="317"/>
      <c r="G95" s="317"/>
      <c r="H95" s="41"/>
      <c r="Q95" s="42"/>
    </row>
    <row r="96" spans="1:17">
      <c r="A96" s="294"/>
      <c r="B96" s="294"/>
      <c r="C96" s="294"/>
      <c r="D96" s="294"/>
      <c r="E96" s="294"/>
      <c r="F96" s="294"/>
      <c r="G96" s="294"/>
      <c r="H96" s="42"/>
      <c r="I96" s="42"/>
      <c r="J96" s="42"/>
      <c r="K96" s="42"/>
      <c r="L96" s="42"/>
      <c r="M96" s="42"/>
      <c r="N96" s="42"/>
      <c r="O96" s="42"/>
      <c r="P96" s="42"/>
      <c r="Q96" s="42"/>
    </row>
    <row r="97" spans="1:17">
      <c r="A97" s="294"/>
      <c r="B97" s="294"/>
      <c r="C97" s="294"/>
      <c r="D97" s="294"/>
      <c r="E97" s="294"/>
      <c r="F97" s="294"/>
      <c r="G97" s="294"/>
      <c r="H97" s="41"/>
      <c r="I97" s="41"/>
      <c r="J97" s="41"/>
      <c r="K97" s="41"/>
      <c r="L97" s="41"/>
      <c r="M97" s="41"/>
      <c r="N97" s="41"/>
      <c r="O97" s="41"/>
      <c r="P97" s="41"/>
      <c r="Q97" s="42"/>
    </row>
    <row r="98" spans="1:17" ht="15.75" customHeight="1">
      <c r="A98" s="294"/>
      <c r="B98" s="294"/>
      <c r="C98" s="294"/>
      <c r="D98" s="294"/>
      <c r="E98" s="294"/>
      <c r="F98" s="294"/>
      <c r="G98" s="294"/>
    </row>
    <row r="99" spans="1:17" ht="15.75" customHeight="1">
      <c r="A99" s="294"/>
      <c r="B99" s="294"/>
      <c r="C99" s="294"/>
      <c r="D99" s="294"/>
      <c r="E99" s="294"/>
      <c r="F99" s="294"/>
      <c r="G99" s="294"/>
    </row>
    <row r="100" spans="1:17" ht="15.75" customHeight="1">
      <c r="A100" s="294"/>
      <c r="B100" s="294"/>
      <c r="C100" s="294"/>
      <c r="D100" s="294"/>
      <c r="E100" s="294"/>
      <c r="F100" s="294"/>
      <c r="G100" s="294"/>
    </row>
    <row r="101" spans="1:17" ht="15.75" customHeight="1">
      <c r="A101" s="294"/>
      <c r="B101" s="294"/>
      <c r="C101" s="294"/>
      <c r="D101" s="294"/>
      <c r="E101" s="294"/>
      <c r="F101" s="294"/>
      <c r="G101" s="294"/>
    </row>
    <row r="102" spans="1:17" ht="15.75" customHeight="1">
      <c r="A102" s="294"/>
      <c r="B102" s="294"/>
      <c r="C102" s="294"/>
      <c r="D102" s="294"/>
      <c r="E102" s="294"/>
      <c r="F102" s="294"/>
      <c r="G102" s="294"/>
    </row>
    <row r="103" spans="1:17" ht="15.75" customHeight="1">
      <c r="A103" s="294"/>
      <c r="B103" s="294"/>
      <c r="C103" s="294"/>
      <c r="D103" s="294"/>
      <c r="E103" s="294"/>
      <c r="F103" s="294"/>
      <c r="G103" s="294"/>
    </row>
    <row r="104" spans="1:17">
      <c r="N104" s="42"/>
      <c r="O104" s="42"/>
      <c r="P104" s="42"/>
      <c r="Q104" s="42"/>
    </row>
    <row r="105" spans="1:17">
      <c r="A105" s="351" t="s">
        <v>276</v>
      </c>
      <c r="B105" s="324"/>
      <c r="C105" s="324"/>
      <c r="D105" s="324"/>
      <c r="E105" s="324"/>
      <c r="F105" s="324"/>
      <c r="G105" s="324"/>
      <c r="H105" s="324"/>
      <c r="I105" s="324"/>
      <c r="J105" s="324"/>
      <c r="K105" s="324"/>
      <c r="L105" s="324"/>
      <c r="M105" s="324"/>
      <c r="N105" s="76"/>
      <c r="O105" s="76"/>
      <c r="P105" s="76"/>
      <c r="Q105" s="42"/>
    </row>
    <row r="106" spans="1:17">
      <c r="A106" s="338" t="s">
        <v>277</v>
      </c>
      <c r="B106" s="294"/>
      <c r="C106" s="294"/>
      <c r="D106" s="294"/>
      <c r="E106" s="294"/>
      <c r="F106" s="294"/>
      <c r="G106" s="294"/>
      <c r="H106" s="356" t="e">
        <f ca="1">IF(H68&lt;0,ROUND(H68/7700,3)*-1000&amp;" a "&amp;ROUND(H68/7000,3)*-1000&amp;"g","-")</f>
        <v>#VALUE!</v>
      </c>
      <c r="I106" s="294"/>
      <c r="J106" s="294"/>
      <c r="K106" s="294"/>
      <c r="L106" s="294"/>
      <c r="M106" s="294"/>
    </row>
    <row r="107" spans="1:17">
      <c r="A107" s="339" t="s">
        <v>278</v>
      </c>
      <c r="B107" s="294"/>
      <c r="C107" s="294"/>
      <c r="D107" s="294"/>
      <c r="E107" s="294"/>
      <c r="F107" s="294"/>
      <c r="G107" s="294"/>
      <c r="H107" s="340" t="e">
        <f ca="1">IF(H68&lt;0,"de "&amp;INT(-7000/M68)&amp;" a "&amp;INT(-7700/M68)+1&amp;" dias","-")</f>
        <v>#VALUE!</v>
      </c>
      <c r="I107" s="294"/>
      <c r="J107" s="294"/>
      <c r="K107" s="294"/>
      <c r="L107" s="294"/>
      <c r="M107" s="294"/>
    </row>
    <row r="108" spans="1:17">
      <c r="A108" s="341" t="str">
        <f ca="1">"Variação da meta proposta ("&amp;IF(Graficos!B153&lt;0,"-",ROUND(Graficos!B153*-1,1)&amp;"kg)")</f>
        <v>Variação da meta proposta (-0,4kg)</v>
      </c>
      <c r="B108" s="317"/>
      <c r="C108" s="317"/>
      <c r="D108" s="317"/>
      <c r="E108" s="317"/>
      <c r="F108" s="317"/>
      <c r="G108" s="317"/>
      <c r="H108" s="342" t="e">
        <f ca="1">IF(H68&lt;0,"de "&amp;INT(-7000*Graficos!$B$153/M68)&amp;" a "&amp;INT(-7700*Graficos!$B$153/M68)+1&amp;" dias","-")</f>
        <v>#VALUE!</v>
      </c>
      <c r="I108" s="317"/>
      <c r="J108" s="317"/>
      <c r="K108" s="317"/>
      <c r="L108" s="317"/>
      <c r="M108" s="317"/>
    </row>
    <row r="109" spans="1:17">
      <c r="Q109" s="68"/>
    </row>
    <row r="110" spans="1:17" ht="15.75" customHeight="1">
      <c r="A110" s="294"/>
      <c r="B110" s="294"/>
      <c r="C110" s="294"/>
      <c r="D110" s="294"/>
      <c r="E110" s="294"/>
      <c r="F110" s="294"/>
      <c r="G110" s="294"/>
      <c r="H110" s="294"/>
      <c r="I110" s="294"/>
      <c r="J110" s="294"/>
      <c r="K110" s="294"/>
      <c r="L110" s="294"/>
      <c r="M110" s="294"/>
      <c r="N110" s="294"/>
      <c r="O110" s="294"/>
      <c r="P110" s="294"/>
    </row>
    <row r="111" spans="1:17" ht="15.75" customHeight="1">
      <c r="A111" s="294"/>
      <c r="B111" s="294"/>
      <c r="C111" s="294"/>
      <c r="D111" s="294"/>
      <c r="E111" s="294"/>
      <c r="F111" s="294"/>
      <c r="G111" s="294"/>
      <c r="H111" s="294"/>
      <c r="I111" s="294"/>
      <c r="J111" s="294"/>
      <c r="K111" s="294"/>
      <c r="L111" s="294"/>
      <c r="M111" s="294"/>
      <c r="N111" s="294"/>
      <c r="O111" s="294"/>
      <c r="P111" s="294"/>
    </row>
    <row r="112" spans="1:17" ht="15.75" customHeight="1">
      <c r="A112" s="294"/>
      <c r="B112" s="294"/>
      <c r="C112" s="294"/>
      <c r="D112" s="294"/>
      <c r="E112" s="294"/>
      <c r="F112" s="294"/>
      <c r="G112" s="294"/>
      <c r="H112" s="294"/>
      <c r="I112" s="294"/>
      <c r="J112" s="294"/>
      <c r="K112" s="294"/>
      <c r="L112" s="294"/>
      <c r="M112" s="294"/>
      <c r="N112" s="294"/>
      <c r="O112" s="294"/>
      <c r="P112" s="294"/>
    </row>
    <row r="113" spans="1:16" ht="15.75" customHeight="1">
      <c r="A113" s="294"/>
      <c r="B113" s="294"/>
      <c r="C113" s="294"/>
      <c r="D113" s="294"/>
      <c r="E113" s="294"/>
      <c r="F113" s="294"/>
      <c r="G113" s="294"/>
      <c r="H113" s="294"/>
      <c r="I113" s="294"/>
      <c r="J113" s="294"/>
      <c r="K113" s="294"/>
      <c r="L113" s="294"/>
      <c r="M113" s="294"/>
      <c r="N113" s="294"/>
      <c r="O113" s="294"/>
      <c r="P113" s="294"/>
    </row>
    <row r="114" spans="1:16" ht="15.75" customHeight="1">
      <c r="A114" s="294"/>
      <c r="B114" s="294"/>
      <c r="C114" s="294"/>
      <c r="D114" s="294"/>
      <c r="E114" s="294"/>
      <c r="F114" s="294"/>
      <c r="G114" s="294"/>
      <c r="H114" s="294"/>
      <c r="I114" s="294"/>
      <c r="J114" s="294"/>
      <c r="K114" s="294"/>
      <c r="L114" s="294"/>
      <c r="M114" s="294"/>
      <c r="N114" s="294"/>
      <c r="O114" s="294"/>
      <c r="P114" s="294"/>
    </row>
    <row r="115" spans="1:16" ht="15.75" customHeight="1">
      <c r="A115" s="294"/>
      <c r="B115" s="294"/>
      <c r="C115" s="294"/>
      <c r="D115" s="294"/>
      <c r="E115" s="294"/>
      <c r="F115" s="294"/>
      <c r="G115" s="294"/>
      <c r="H115" s="294"/>
      <c r="I115" s="294"/>
      <c r="J115" s="294"/>
      <c r="K115" s="294"/>
      <c r="L115" s="294"/>
      <c r="M115" s="294"/>
      <c r="N115" s="294"/>
      <c r="O115" s="294"/>
      <c r="P115" s="294"/>
    </row>
    <row r="116" spans="1:16" ht="15.75" customHeight="1">
      <c r="A116" s="294"/>
      <c r="B116" s="294"/>
      <c r="C116" s="294"/>
      <c r="D116" s="294"/>
      <c r="E116" s="294"/>
      <c r="F116" s="294"/>
      <c r="G116" s="294"/>
      <c r="H116" s="294"/>
      <c r="I116" s="294"/>
      <c r="J116" s="294"/>
      <c r="K116" s="294"/>
      <c r="L116" s="294"/>
      <c r="M116" s="294"/>
      <c r="N116" s="294"/>
      <c r="O116" s="294"/>
      <c r="P116" s="294"/>
    </row>
    <row r="117" spans="1:16" ht="15.75" customHeight="1">
      <c r="A117" s="294"/>
      <c r="B117" s="294"/>
      <c r="C117" s="294"/>
      <c r="D117" s="294"/>
      <c r="E117" s="294"/>
      <c r="F117" s="294"/>
      <c r="G117" s="294"/>
      <c r="H117" s="294"/>
      <c r="I117" s="294"/>
      <c r="J117" s="294"/>
      <c r="K117" s="294"/>
      <c r="L117" s="294"/>
      <c r="M117" s="294"/>
      <c r="N117" s="294"/>
      <c r="O117" s="294"/>
      <c r="P117" s="294"/>
    </row>
    <row r="118" spans="1:16" ht="15.75" customHeight="1">
      <c r="A118" s="294"/>
      <c r="B118" s="294"/>
      <c r="C118" s="294"/>
      <c r="D118" s="294"/>
      <c r="E118" s="294"/>
      <c r="F118" s="294"/>
      <c r="G118" s="294"/>
      <c r="H118" s="294"/>
      <c r="I118" s="294"/>
      <c r="J118" s="294"/>
      <c r="K118" s="294"/>
      <c r="L118" s="294"/>
      <c r="M118" s="294"/>
      <c r="N118" s="294"/>
      <c r="O118" s="294"/>
      <c r="P118" s="294"/>
    </row>
    <row r="119" spans="1:16" ht="15.75" customHeight="1">
      <c r="A119" s="294"/>
      <c r="B119" s="294"/>
      <c r="C119" s="294"/>
      <c r="D119" s="294"/>
      <c r="E119" s="294"/>
      <c r="F119" s="294"/>
      <c r="G119" s="294"/>
      <c r="H119" s="294"/>
      <c r="I119" s="294"/>
      <c r="J119" s="294"/>
      <c r="K119" s="294"/>
      <c r="L119" s="294"/>
      <c r="M119" s="294"/>
      <c r="N119" s="294"/>
      <c r="O119" s="294"/>
      <c r="P119" s="294"/>
    </row>
    <row r="120" spans="1:16" ht="15.75" customHeight="1">
      <c r="A120" s="294"/>
      <c r="B120" s="294"/>
      <c r="C120" s="294"/>
      <c r="D120" s="294"/>
      <c r="E120" s="294"/>
      <c r="F120" s="294"/>
      <c r="G120" s="294"/>
      <c r="H120" s="294"/>
      <c r="I120" s="294"/>
      <c r="J120" s="294"/>
      <c r="K120" s="294"/>
      <c r="L120" s="294"/>
      <c r="M120" s="294"/>
      <c r="N120" s="294"/>
      <c r="O120" s="294"/>
      <c r="P120" s="294"/>
    </row>
    <row r="121" spans="1:16" ht="15.75" customHeight="1">
      <c r="A121" s="294"/>
      <c r="B121" s="294"/>
      <c r="C121" s="294"/>
      <c r="D121" s="294"/>
      <c r="E121" s="294"/>
      <c r="F121" s="294"/>
      <c r="G121" s="294"/>
      <c r="H121" s="294"/>
      <c r="I121" s="294"/>
      <c r="J121" s="294"/>
      <c r="K121" s="294"/>
      <c r="L121" s="294"/>
      <c r="M121" s="294"/>
      <c r="N121" s="294"/>
      <c r="O121" s="294"/>
      <c r="P121" s="294"/>
    </row>
    <row r="122" spans="1:16" ht="15.75" customHeight="1">
      <c r="A122" s="294"/>
      <c r="B122" s="294"/>
      <c r="C122" s="294"/>
      <c r="D122" s="294"/>
      <c r="E122" s="294"/>
      <c r="F122" s="294"/>
      <c r="G122" s="294"/>
      <c r="H122" s="294"/>
      <c r="I122" s="294"/>
      <c r="J122" s="294"/>
      <c r="K122" s="294"/>
      <c r="L122" s="294"/>
      <c r="M122" s="294"/>
      <c r="N122" s="294"/>
      <c r="O122" s="294"/>
      <c r="P122" s="294"/>
    </row>
    <row r="123" spans="1:16" ht="15.75" customHeight="1">
      <c r="A123" s="294"/>
      <c r="B123" s="294"/>
      <c r="C123" s="294"/>
      <c r="D123" s="294"/>
      <c r="E123" s="294"/>
      <c r="F123" s="294"/>
      <c r="G123" s="294"/>
      <c r="H123" s="294"/>
      <c r="I123" s="294"/>
      <c r="J123" s="294"/>
      <c r="K123" s="294"/>
      <c r="L123" s="294"/>
      <c r="M123" s="294"/>
      <c r="N123" s="294"/>
      <c r="O123" s="294"/>
      <c r="P123" s="294"/>
    </row>
    <row r="125" spans="1:16">
      <c r="A125" s="343" t="s">
        <v>279</v>
      </c>
      <c r="B125" s="324"/>
      <c r="C125" s="324"/>
      <c r="D125" s="344" t="s">
        <v>280</v>
      </c>
      <c r="E125" s="324"/>
      <c r="F125" s="324"/>
      <c r="G125" s="64"/>
      <c r="H125" s="344" t="s">
        <v>281</v>
      </c>
      <c r="I125" s="324"/>
      <c r="J125" s="64"/>
      <c r="K125" s="326" t="s">
        <v>282</v>
      </c>
      <c r="L125" s="324"/>
      <c r="M125" s="324"/>
      <c r="N125" s="42"/>
      <c r="O125" s="42"/>
    </row>
    <row r="126" spans="1:16">
      <c r="A126" s="345" t="s">
        <v>283</v>
      </c>
      <c r="B126" s="294"/>
      <c r="C126" s="294"/>
      <c r="D126" s="346">
        <v>25</v>
      </c>
      <c r="E126" s="294"/>
      <c r="F126" s="294"/>
      <c r="G126" s="42"/>
      <c r="H126" s="315">
        <f t="shared" ref="H126:H131" ca="1" si="8">IF(D126,D126*$M$88/100,"")</f>
        <v>653.41499999999996</v>
      </c>
      <c r="I126" s="294"/>
      <c r="J126" s="42"/>
      <c r="K126" s="347">
        <v>0.29166666666666669</v>
      </c>
      <c r="L126" s="294"/>
      <c r="M126" s="294"/>
      <c r="N126" s="42"/>
      <c r="O126" s="42"/>
    </row>
    <row r="127" spans="1:16">
      <c r="A127" s="345" t="s">
        <v>284</v>
      </c>
      <c r="B127" s="294"/>
      <c r="C127" s="294"/>
      <c r="D127" s="346">
        <v>10</v>
      </c>
      <c r="E127" s="294"/>
      <c r="F127" s="294"/>
      <c r="G127" s="42"/>
      <c r="H127" s="315">
        <f t="shared" ca="1" si="8"/>
        <v>261.36599999999999</v>
      </c>
      <c r="I127" s="294"/>
      <c r="J127" s="42"/>
      <c r="K127" s="347">
        <v>0.375</v>
      </c>
      <c r="L127" s="294"/>
      <c r="M127" s="294"/>
      <c r="N127" s="42"/>
      <c r="O127" s="42"/>
    </row>
    <row r="128" spans="1:16">
      <c r="A128" s="345" t="s">
        <v>285</v>
      </c>
      <c r="B128" s="294"/>
      <c r="C128" s="294"/>
      <c r="D128" s="346">
        <v>35</v>
      </c>
      <c r="E128" s="294"/>
      <c r="F128" s="294"/>
      <c r="G128" s="42"/>
      <c r="H128" s="315">
        <f t="shared" ca="1" si="8"/>
        <v>914.78099999999995</v>
      </c>
      <c r="I128" s="294"/>
      <c r="J128" s="42"/>
      <c r="K128" s="347">
        <v>0.5</v>
      </c>
      <c r="L128" s="294"/>
      <c r="M128" s="294"/>
    </row>
    <row r="129" spans="1:17">
      <c r="A129" s="345" t="s">
        <v>286</v>
      </c>
      <c r="B129" s="294"/>
      <c r="C129" s="294"/>
      <c r="D129" s="346">
        <v>10</v>
      </c>
      <c r="E129" s="294"/>
      <c r="F129" s="294"/>
      <c r="G129" s="42"/>
      <c r="H129" s="315">
        <f t="shared" ca="1" si="8"/>
        <v>261.36599999999999</v>
      </c>
      <c r="I129" s="294"/>
      <c r="J129" s="42"/>
      <c r="K129" s="347">
        <v>0.66666666666666663</v>
      </c>
      <c r="L129" s="294"/>
      <c r="M129" s="294"/>
    </row>
    <row r="130" spans="1:17">
      <c r="A130" s="345" t="s">
        <v>287</v>
      </c>
      <c r="B130" s="294"/>
      <c r="C130" s="294"/>
      <c r="D130" s="346">
        <v>20</v>
      </c>
      <c r="E130" s="294"/>
      <c r="F130" s="294"/>
      <c r="G130" s="42"/>
      <c r="H130" s="315">
        <f t="shared" ca="1" si="8"/>
        <v>522.73199999999997</v>
      </c>
      <c r="I130" s="294"/>
      <c r="J130" s="42"/>
      <c r="K130" s="347">
        <v>0.8125</v>
      </c>
      <c r="L130" s="294"/>
      <c r="M130" s="294"/>
      <c r="P130" s="42"/>
      <c r="Q130" s="42"/>
    </row>
    <row r="131" spans="1:17">
      <c r="A131" s="345"/>
      <c r="B131" s="294"/>
      <c r="C131" s="294"/>
      <c r="D131" s="346"/>
      <c r="E131" s="294"/>
      <c r="F131" s="294"/>
      <c r="G131" s="54"/>
      <c r="H131" s="315" t="str">
        <f t="shared" si="8"/>
        <v/>
      </c>
      <c r="I131" s="294"/>
      <c r="J131" s="42"/>
      <c r="K131" s="347"/>
      <c r="L131" s="294"/>
      <c r="M131" s="294"/>
      <c r="P131" s="42"/>
      <c r="Q131" s="42"/>
    </row>
    <row r="132" spans="1:17">
      <c r="A132" s="348" t="s">
        <v>288</v>
      </c>
      <c r="B132" s="324"/>
      <c r="C132" s="324"/>
      <c r="D132" s="349">
        <f>SUM(D126:F131)</f>
        <v>100</v>
      </c>
      <c r="E132" s="324"/>
      <c r="F132" s="324"/>
      <c r="G132" s="57"/>
      <c r="H132" s="349">
        <f>SUM(J125:J130)</f>
        <v>0</v>
      </c>
      <c r="I132" s="324"/>
      <c r="J132" s="77"/>
      <c r="K132" s="349"/>
      <c r="L132" s="324"/>
      <c r="M132" s="59"/>
      <c r="P132" s="42"/>
      <c r="Q132" s="42"/>
    </row>
    <row r="133" spans="1:17">
      <c r="A133" s="42"/>
      <c r="B133" s="42"/>
      <c r="C133" s="42"/>
      <c r="D133" s="42"/>
      <c r="E133" s="42"/>
      <c r="F133" s="42"/>
      <c r="G133" s="42"/>
      <c r="H133" s="42"/>
      <c r="I133" s="42"/>
      <c r="J133" s="42"/>
      <c r="K133" s="42"/>
      <c r="L133" s="42"/>
      <c r="M133" s="42"/>
      <c r="P133" s="42"/>
      <c r="Q133" s="42"/>
    </row>
    <row r="134" spans="1:17">
      <c r="A134" s="350" t="str">
        <f>A126</f>
        <v>Café da Manhã</v>
      </c>
      <c r="B134" s="319"/>
      <c r="C134" s="319"/>
      <c r="D134" s="78">
        <f ca="1">H126</f>
        <v>653.41499999999996</v>
      </c>
      <c r="E134" s="79" t="str">
        <f ca="1">IF(D134="","","kcal")</f>
        <v>kcal</v>
      </c>
      <c r="F134" s="350" t="str">
        <f>A127</f>
        <v>Lanche da Manhã</v>
      </c>
      <c r="G134" s="319"/>
      <c r="H134" s="319"/>
      <c r="I134" s="80">
        <f ca="1">H127</f>
        <v>261.36599999999999</v>
      </c>
      <c r="J134" s="79" t="str">
        <f ca="1">IF(I134="","","kcal")</f>
        <v>kcal</v>
      </c>
      <c r="K134" s="350" t="str">
        <f>A128</f>
        <v>Almoço</v>
      </c>
      <c r="L134" s="319"/>
      <c r="M134" s="319"/>
      <c r="N134" s="80">
        <f ca="1">H128</f>
        <v>914.78099999999995</v>
      </c>
      <c r="O134" s="45" t="str">
        <f ca="1">IF(N134="","","kcal")</f>
        <v>kcal</v>
      </c>
      <c r="P134" s="42"/>
      <c r="Q134" s="42"/>
    </row>
    <row r="135" spans="1:17">
      <c r="A135" s="75"/>
      <c r="B135" s="45" t="s">
        <v>264</v>
      </c>
      <c r="C135" s="350" t="s">
        <v>281</v>
      </c>
      <c r="D135" s="319"/>
      <c r="E135" s="79" t="s">
        <v>289</v>
      </c>
      <c r="F135" s="75"/>
      <c r="G135" s="45" t="s">
        <v>264</v>
      </c>
      <c r="H135" s="350" t="s">
        <v>281</v>
      </c>
      <c r="I135" s="319"/>
      <c r="J135" s="79" t="s">
        <v>289</v>
      </c>
      <c r="K135" s="75"/>
      <c r="L135" s="45" t="s">
        <v>264</v>
      </c>
      <c r="M135" s="350" t="s">
        <v>281</v>
      </c>
      <c r="N135" s="319"/>
      <c r="O135" s="45" t="s">
        <v>289</v>
      </c>
      <c r="P135" s="42"/>
      <c r="Q135" s="42"/>
    </row>
    <row r="136" spans="1:17">
      <c r="A136" s="48" t="s">
        <v>290</v>
      </c>
      <c r="B136" s="50">
        <v>53.7</v>
      </c>
      <c r="C136" s="315">
        <f ca="1">D134*B136/100</f>
        <v>350.88385499999998</v>
      </c>
      <c r="D136" s="294"/>
      <c r="E136" s="81">
        <f t="shared" ref="E136:E137" ca="1" si="9">C136/4</f>
        <v>87.720963749999996</v>
      </c>
      <c r="F136" s="48" t="s">
        <v>290</v>
      </c>
      <c r="G136" s="50">
        <v>53.7</v>
      </c>
      <c r="H136" s="315">
        <f t="shared" ref="H136:H138" ca="1" si="10">I$134*G136/100</f>
        <v>140.353542</v>
      </c>
      <c r="I136" s="294"/>
      <c r="J136" s="81">
        <f t="shared" ref="J136:J137" ca="1" si="11">H136/4</f>
        <v>35.088385500000001</v>
      </c>
      <c r="K136" s="48" t="s">
        <v>290</v>
      </c>
      <c r="L136" s="50">
        <v>53.7</v>
      </c>
      <c r="M136" s="315">
        <f ca="1">N134*L136/100</f>
        <v>491.23739699999999</v>
      </c>
      <c r="N136" s="294"/>
      <c r="O136" s="49">
        <f t="shared" ref="O136:O137" ca="1" si="12">M136/4</f>
        <v>122.80934925</v>
      </c>
      <c r="P136" s="42"/>
      <c r="Q136" s="42"/>
    </row>
    <row r="137" spans="1:17">
      <c r="A137" s="48" t="s">
        <v>291</v>
      </c>
      <c r="B137" s="50">
        <v>23.8</v>
      </c>
      <c r="C137" s="315">
        <f ca="1">D134*B137/100</f>
        <v>155.51276999999999</v>
      </c>
      <c r="D137" s="294"/>
      <c r="E137" s="81">
        <f t="shared" ca="1" si="9"/>
        <v>38.878192499999997</v>
      </c>
      <c r="F137" s="48" t="s">
        <v>291</v>
      </c>
      <c r="G137" s="50">
        <v>23.8</v>
      </c>
      <c r="H137" s="315">
        <f t="shared" ca="1" si="10"/>
        <v>62.205108000000003</v>
      </c>
      <c r="I137" s="294"/>
      <c r="J137" s="81">
        <f t="shared" ca="1" si="11"/>
        <v>15.551277000000001</v>
      </c>
      <c r="K137" s="48" t="s">
        <v>291</v>
      </c>
      <c r="L137" s="50">
        <v>23.8</v>
      </c>
      <c r="M137" s="315">
        <f ca="1">N134*L137/100</f>
        <v>217.71787799999998</v>
      </c>
      <c r="N137" s="294"/>
      <c r="O137" s="49">
        <f t="shared" ca="1" si="12"/>
        <v>54.429469499999996</v>
      </c>
      <c r="P137" s="42"/>
      <c r="Q137" s="42"/>
    </row>
    <row r="138" spans="1:17">
      <c r="A138" s="53" t="s">
        <v>292</v>
      </c>
      <c r="B138" s="82">
        <v>22.5</v>
      </c>
      <c r="C138" s="315">
        <f ca="1">D134*B138/100</f>
        <v>147.01837499999999</v>
      </c>
      <c r="D138" s="294"/>
      <c r="E138" s="81">
        <f ca="1">C138/9</f>
        <v>16.335374999999999</v>
      </c>
      <c r="F138" s="53" t="s">
        <v>292</v>
      </c>
      <c r="G138" s="82">
        <v>22.5</v>
      </c>
      <c r="H138" s="315">
        <f t="shared" ca="1" si="10"/>
        <v>58.80735</v>
      </c>
      <c r="I138" s="294"/>
      <c r="J138" s="81">
        <f ca="1">H138/9</f>
        <v>6.5341500000000003</v>
      </c>
      <c r="K138" s="53" t="s">
        <v>292</v>
      </c>
      <c r="L138" s="82">
        <v>22.5</v>
      </c>
      <c r="M138" s="315">
        <f ca="1">N134*L138/100</f>
        <v>205.82572499999998</v>
      </c>
      <c r="N138" s="294"/>
      <c r="O138" s="49">
        <f ca="1">M138/9</f>
        <v>22.869524999999996</v>
      </c>
      <c r="P138" s="42"/>
      <c r="Q138" s="42"/>
    </row>
    <row r="139" spans="1:17">
      <c r="A139" s="53"/>
      <c r="B139" s="55">
        <f>SUM(B136:B138)</f>
        <v>100</v>
      </c>
      <c r="C139" s="349">
        <f ca="1">SUM(C136:D138)</f>
        <v>653.41499999999996</v>
      </c>
      <c r="D139" s="324"/>
      <c r="E139" s="83"/>
      <c r="F139" s="47"/>
      <c r="G139" s="55">
        <f>SUM(G136:G138)</f>
        <v>100</v>
      </c>
      <c r="H139" s="349">
        <f ca="1">SUM(H136:I138)</f>
        <v>261.36599999999999</v>
      </c>
      <c r="I139" s="324"/>
      <c r="J139" s="83"/>
      <c r="K139" s="47"/>
      <c r="L139" s="55">
        <f>SUM(L136:L138)</f>
        <v>100</v>
      </c>
      <c r="M139" s="349">
        <f ca="1">SUM(M136:N138)</f>
        <v>914.78099999999995</v>
      </c>
      <c r="N139" s="324"/>
      <c r="O139" s="77"/>
      <c r="P139" s="42"/>
      <c r="Q139" s="42"/>
    </row>
    <row r="140" spans="1:17">
      <c r="G140" s="74"/>
      <c r="P140" s="42"/>
      <c r="Q140" s="42"/>
    </row>
    <row r="141" spans="1:17">
      <c r="P141" s="42"/>
      <c r="Q141" s="42"/>
    </row>
    <row r="142" spans="1:17">
      <c r="A142" s="350" t="str">
        <f>A129</f>
        <v>Lanche da Tarde</v>
      </c>
      <c r="B142" s="319"/>
      <c r="C142" s="319"/>
      <c r="D142" s="78">
        <f ca="1">H129</f>
        <v>261.36599999999999</v>
      </c>
      <c r="E142" s="79" t="str">
        <f ca="1">IF(D142="","","kcal")</f>
        <v>kcal</v>
      </c>
      <c r="F142" s="350" t="str">
        <f>A130</f>
        <v>Jantar</v>
      </c>
      <c r="G142" s="319"/>
      <c r="H142" s="319"/>
      <c r="I142" s="78">
        <f ca="1">H130</f>
        <v>522.73199999999997</v>
      </c>
      <c r="J142" s="79" t="str">
        <f ca="1">IF(I142="","","kcal")</f>
        <v>kcal</v>
      </c>
      <c r="K142" s="350">
        <f>A131</f>
        <v>0</v>
      </c>
      <c r="L142" s="319"/>
      <c r="M142" s="319"/>
      <c r="N142" s="78" t="str">
        <f>H131</f>
        <v/>
      </c>
      <c r="O142" s="45" t="str">
        <f>IF(N142="","","kcal")</f>
        <v/>
      </c>
      <c r="P142" s="42"/>
      <c r="Q142" s="42"/>
    </row>
    <row r="143" spans="1:17">
      <c r="A143" s="75"/>
      <c r="B143" s="45" t="s">
        <v>264</v>
      </c>
      <c r="C143" s="350" t="s">
        <v>281</v>
      </c>
      <c r="D143" s="319"/>
      <c r="E143" s="79" t="s">
        <v>289</v>
      </c>
      <c r="F143" s="75"/>
      <c r="G143" s="45" t="s">
        <v>264</v>
      </c>
      <c r="H143" s="350" t="s">
        <v>281</v>
      </c>
      <c r="I143" s="319"/>
      <c r="J143" s="79" t="s">
        <v>289</v>
      </c>
      <c r="K143" s="75"/>
      <c r="L143" s="45" t="s">
        <v>264</v>
      </c>
      <c r="M143" s="350" t="s">
        <v>281</v>
      </c>
      <c r="N143" s="319"/>
      <c r="O143" s="45" t="s">
        <v>289</v>
      </c>
      <c r="P143" s="42"/>
      <c r="Q143" s="42"/>
    </row>
    <row r="144" spans="1:17">
      <c r="A144" s="48" t="s">
        <v>290</v>
      </c>
      <c r="B144" s="50">
        <v>53.7</v>
      </c>
      <c r="C144" s="315">
        <f ca="1">D142*B144/100</f>
        <v>140.353542</v>
      </c>
      <c r="D144" s="294"/>
      <c r="E144" s="81">
        <f t="shared" ref="E144:E145" ca="1" si="13">C144/4</f>
        <v>35.088385500000001</v>
      </c>
      <c r="F144" s="48" t="s">
        <v>290</v>
      </c>
      <c r="G144" s="50">
        <v>53.7</v>
      </c>
      <c r="H144" s="315">
        <f ca="1">I142*G144/100</f>
        <v>280.70708400000001</v>
      </c>
      <c r="I144" s="294"/>
      <c r="J144" s="81">
        <f t="shared" ref="J144:J145" ca="1" si="14">H144/4</f>
        <v>70.176771000000002</v>
      </c>
      <c r="K144" s="48" t="s">
        <v>290</v>
      </c>
      <c r="L144" s="50">
        <v>53.7</v>
      </c>
      <c r="M144" s="315" t="e">
        <f>N142*L144/100</f>
        <v>#VALUE!</v>
      </c>
      <c r="N144" s="294"/>
      <c r="O144" s="49" t="e">
        <f t="shared" ref="O144:O145" si="15">M144/4</f>
        <v>#VALUE!</v>
      </c>
      <c r="P144" s="42"/>
      <c r="Q144" s="42"/>
    </row>
    <row r="145" spans="1:17">
      <c r="A145" s="48" t="s">
        <v>291</v>
      </c>
      <c r="B145" s="50">
        <v>23.8</v>
      </c>
      <c r="C145" s="315">
        <f ca="1">D142*B145/100</f>
        <v>62.205108000000003</v>
      </c>
      <c r="D145" s="294"/>
      <c r="E145" s="81">
        <f t="shared" ca="1" si="13"/>
        <v>15.551277000000001</v>
      </c>
      <c r="F145" s="48" t="s">
        <v>291</v>
      </c>
      <c r="G145" s="50">
        <v>23.8</v>
      </c>
      <c r="H145" s="315">
        <f ca="1">I142*G145/100</f>
        <v>124.41021600000001</v>
      </c>
      <c r="I145" s="294"/>
      <c r="J145" s="81">
        <f t="shared" ca="1" si="14"/>
        <v>31.102554000000001</v>
      </c>
      <c r="K145" s="48" t="s">
        <v>291</v>
      </c>
      <c r="L145" s="50">
        <v>23.8</v>
      </c>
      <c r="M145" s="315" t="e">
        <f>N142*L145/100</f>
        <v>#VALUE!</v>
      </c>
      <c r="N145" s="294"/>
      <c r="O145" s="49" t="e">
        <f t="shared" si="15"/>
        <v>#VALUE!</v>
      </c>
      <c r="P145" s="42"/>
      <c r="Q145" s="42"/>
    </row>
    <row r="146" spans="1:17">
      <c r="A146" s="53" t="s">
        <v>292</v>
      </c>
      <c r="B146" s="82">
        <v>22.5</v>
      </c>
      <c r="C146" s="315">
        <f ca="1">D142*B146/100</f>
        <v>58.80735</v>
      </c>
      <c r="D146" s="294"/>
      <c r="E146" s="81">
        <f ca="1">C146/9</f>
        <v>6.5341500000000003</v>
      </c>
      <c r="F146" s="53" t="s">
        <v>292</v>
      </c>
      <c r="G146" s="82">
        <v>22.5</v>
      </c>
      <c r="H146" s="315">
        <f ca="1">I142*G146/100</f>
        <v>117.6147</v>
      </c>
      <c r="I146" s="294"/>
      <c r="J146" s="81">
        <f ca="1">H146/9</f>
        <v>13.068300000000001</v>
      </c>
      <c r="K146" s="53" t="s">
        <v>292</v>
      </c>
      <c r="L146" s="82">
        <v>22.5</v>
      </c>
      <c r="M146" s="315" t="e">
        <f>N142*L146/100</f>
        <v>#VALUE!</v>
      </c>
      <c r="N146" s="294"/>
      <c r="O146" s="49" t="e">
        <f>M146/9</f>
        <v>#VALUE!</v>
      </c>
      <c r="P146" s="42"/>
      <c r="Q146" s="42"/>
    </row>
    <row r="147" spans="1:17">
      <c r="A147" s="53"/>
      <c r="B147" s="55">
        <f>SUM(B144:B146)</f>
        <v>100</v>
      </c>
      <c r="C147" s="349">
        <f ca="1">SUM(C144:D146)</f>
        <v>261.36599999999999</v>
      </c>
      <c r="D147" s="324"/>
      <c r="E147" s="83"/>
      <c r="F147" s="47"/>
      <c r="G147" s="55">
        <f>SUM(G144:G146)</f>
        <v>100</v>
      </c>
      <c r="H147" s="349">
        <f ca="1">SUM(H144:I146)</f>
        <v>522.73199999999997</v>
      </c>
      <c r="I147" s="324"/>
      <c r="J147" s="83"/>
      <c r="K147" s="47"/>
      <c r="L147" s="55">
        <f>SUM(L144:L146)</f>
        <v>100</v>
      </c>
      <c r="M147" s="349" t="e">
        <f>SUM(M144:N146)</f>
        <v>#VALUE!</v>
      </c>
      <c r="N147" s="324"/>
      <c r="O147" s="77"/>
      <c r="P147" s="42"/>
      <c r="Q147" s="42"/>
    </row>
    <row r="148" spans="1:17">
      <c r="N148" s="42"/>
      <c r="O148" s="42"/>
      <c r="P148" s="42"/>
      <c r="Q148" s="42"/>
    </row>
    <row r="149" spans="1:17">
      <c r="A149" s="331"/>
      <c r="B149" s="294"/>
      <c r="C149" s="294"/>
      <c r="D149" s="294"/>
      <c r="E149" s="294"/>
      <c r="F149" s="294"/>
      <c r="G149" s="294"/>
      <c r="H149" s="294"/>
      <c r="I149" s="294"/>
      <c r="J149" s="294"/>
      <c r="K149" s="294"/>
      <c r="L149" s="294"/>
      <c r="M149" s="294"/>
      <c r="N149" s="294"/>
      <c r="O149" s="294"/>
      <c r="P149" s="294"/>
      <c r="Q149" s="42"/>
    </row>
    <row r="150" spans="1:17">
      <c r="A150" s="294"/>
      <c r="B150" s="294"/>
      <c r="C150" s="294"/>
      <c r="D150" s="294"/>
      <c r="E150" s="294"/>
      <c r="F150" s="294"/>
      <c r="G150" s="294"/>
      <c r="H150" s="294"/>
      <c r="I150" s="294"/>
      <c r="J150" s="294"/>
      <c r="K150" s="294"/>
      <c r="L150" s="294"/>
      <c r="M150" s="294"/>
      <c r="N150" s="294"/>
      <c r="O150" s="294"/>
      <c r="P150" s="294"/>
      <c r="Q150" s="42"/>
    </row>
    <row r="151" spans="1:17">
      <c r="A151" s="294"/>
      <c r="B151" s="294"/>
      <c r="C151" s="294"/>
      <c r="D151" s="294"/>
      <c r="E151" s="294"/>
      <c r="F151" s="294"/>
      <c r="G151" s="294"/>
      <c r="H151" s="294"/>
      <c r="I151" s="294"/>
      <c r="J151" s="294"/>
      <c r="K151" s="294"/>
      <c r="L151" s="294"/>
      <c r="M151" s="294"/>
      <c r="N151" s="294"/>
      <c r="O151" s="294"/>
      <c r="P151" s="294"/>
      <c r="Q151" s="42"/>
    </row>
    <row r="152" spans="1:17">
      <c r="A152" s="294"/>
      <c r="B152" s="294"/>
      <c r="C152" s="294"/>
      <c r="D152" s="294"/>
      <c r="E152" s="294"/>
      <c r="F152" s="294"/>
      <c r="G152" s="294"/>
      <c r="H152" s="294"/>
      <c r="I152" s="294"/>
      <c r="J152" s="294"/>
      <c r="K152" s="294"/>
      <c r="L152" s="294"/>
      <c r="M152" s="294"/>
      <c r="N152" s="294"/>
      <c r="O152" s="294"/>
      <c r="P152" s="294"/>
      <c r="Q152" s="42"/>
    </row>
    <row r="153" spans="1:17">
      <c r="A153" s="294"/>
      <c r="B153" s="294"/>
      <c r="C153" s="294"/>
      <c r="D153" s="294"/>
      <c r="E153" s="294"/>
      <c r="F153" s="294"/>
      <c r="G153" s="294"/>
      <c r="H153" s="294"/>
      <c r="I153" s="294"/>
      <c r="J153" s="294"/>
      <c r="K153" s="294"/>
      <c r="L153" s="294"/>
      <c r="M153" s="294"/>
      <c r="N153" s="294"/>
      <c r="O153" s="294"/>
      <c r="P153" s="294"/>
      <c r="Q153" s="42"/>
    </row>
    <row r="154" spans="1:17">
      <c r="A154" s="294"/>
      <c r="B154" s="294"/>
      <c r="C154" s="294"/>
      <c r="D154" s="294"/>
      <c r="E154" s="294"/>
      <c r="F154" s="294"/>
      <c r="G154" s="294"/>
      <c r="H154" s="294"/>
      <c r="I154" s="294"/>
      <c r="J154" s="294"/>
      <c r="K154" s="294"/>
      <c r="L154" s="294"/>
      <c r="M154" s="294"/>
      <c r="N154" s="294"/>
      <c r="O154" s="294"/>
      <c r="P154" s="294"/>
      <c r="Q154" s="42"/>
    </row>
    <row r="155" spans="1:17">
      <c r="A155" s="294"/>
      <c r="B155" s="294"/>
      <c r="C155" s="294"/>
      <c r="D155" s="294"/>
      <c r="E155" s="294"/>
      <c r="F155" s="294"/>
      <c r="G155" s="294"/>
      <c r="H155" s="294"/>
      <c r="I155" s="294"/>
      <c r="J155" s="294"/>
      <c r="K155" s="294"/>
      <c r="L155" s="294"/>
      <c r="M155" s="294"/>
      <c r="N155" s="294"/>
      <c r="O155" s="294"/>
      <c r="P155" s="294"/>
      <c r="Q155" s="42"/>
    </row>
    <row r="156" spans="1:17">
      <c r="A156" s="294"/>
      <c r="B156" s="294"/>
      <c r="C156" s="294"/>
      <c r="D156" s="294"/>
      <c r="E156" s="294"/>
      <c r="F156" s="294"/>
      <c r="G156" s="294"/>
      <c r="H156" s="294"/>
      <c r="I156" s="294"/>
      <c r="J156" s="294"/>
      <c r="K156" s="294"/>
      <c r="L156" s="294"/>
      <c r="M156" s="294"/>
      <c r="N156" s="294"/>
      <c r="O156" s="294"/>
      <c r="P156" s="294"/>
      <c r="Q156" s="42"/>
    </row>
    <row r="157" spans="1:17">
      <c r="A157" s="294"/>
      <c r="B157" s="294"/>
      <c r="C157" s="294"/>
      <c r="D157" s="294"/>
      <c r="E157" s="294"/>
      <c r="F157" s="294"/>
      <c r="G157" s="294"/>
      <c r="H157" s="294"/>
      <c r="I157" s="294"/>
      <c r="J157" s="294"/>
      <c r="K157" s="294"/>
      <c r="L157" s="294"/>
      <c r="M157" s="294"/>
      <c r="N157" s="294"/>
      <c r="O157" s="294"/>
      <c r="P157" s="294"/>
      <c r="Q157" s="42"/>
    </row>
    <row r="158" spans="1:17">
      <c r="A158" s="294"/>
      <c r="B158" s="294"/>
      <c r="C158" s="294"/>
      <c r="D158" s="294"/>
      <c r="E158" s="294"/>
      <c r="F158" s="294"/>
      <c r="G158" s="294"/>
      <c r="H158" s="294"/>
      <c r="I158" s="294"/>
      <c r="J158" s="294"/>
      <c r="K158" s="294"/>
      <c r="L158" s="294"/>
      <c r="M158" s="294"/>
      <c r="N158" s="294"/>
      <c r="O158" s="294"/>
      <c r="P158" s="294"/>
      <c r="Q158" s="42"/>
    </row>
    <row r="159" spans="1:17">
      <c r="A159" s="294"/>
      <c r="B159" s="294"/>
      <c r="C159" s="294"/>
      <c r="D159" s="294"/>
      <c r="E159" s="294"/>
      <c r="F159" s="294"/>
      <c r="G159" s="294"/>
      <c r="H159" s="294"/>
      <c r="I159" s="294"/>
      <c r="J159" s="294"/>
      <c r="K159" s="294"/>
      <c r="L159" s="294"/>
      <c r="M159" s="294"/>
      <c r="N159" s="294"/>
      <c r="O159" s="294"/>
      <c r="P159" s="294"/>
      <c r="Q159" s="42"/>
    </row>
    <row r="160" spans="1:17">
      <c r="A160" s="294"/>
      <c r="B160" s="294"/>
      <c r="C160" s="294"/>
      <c r="D160" s="294"/>
      <c r="E160" s="294"/>
      <c r="F160" s="294"/>
      <c r="G160" s="294"/>
      <c r="H160" s="294"/>
      <c r="I160" s="294"/>
      <c r="J160" s="294"/>
      <c r="K160" s="294"/>
      <c r="L160" s="294"/>
      <c r="M160" s="294"/>
      <c r="N160" s="294"/>
      <c r="O160" s="294"/>
      <c r="P160" s="294"/>
      <c r="Q160" s="42"/>
    </row>
    <row r="161" spans="1:17">
      <c r="A161" s="294"/>
      <c r="B161" s="294"/>
      <c r="C161" s="294"/>
      <c r="D161" s="294"/>
      <c r="E161" s="294"/>
      <c r="F161" s="294"/>
      <c r="G161" s="294"/>
      <c r="H161" s="294"/>
      <c r="I161" s="294"/>
      <c r="J161" s="294"/>
      <c r="K161" s="294"/>
      <c r="L161" s="294"/>
      <c r="M161" s="294"/>
      <c r="N161" s="294"/>
      <c r="O161" s="294"/>
      <c r="P161" s="294"/>
      <c r="Q161" s="42"/>
    </row>
    <row r="162" spans="1:17">
      <c r="A162" s="294"/>
      <c r="B162" s="294"/>
      <c r="C162" s="294"/>
      <c r="D162" s="294"/>
      <c r="E162" s="294"/>
      <c r="F162" s="294"/>
      <c r="G162" s="294"/>
      <c r="H162" s="294"/>
      <c r="I162" s="294"/>
      <c r="J162" s="294"/>
      <c r="K162" s="294"/>
      <c r="L162" s="294"/>
      <c r="M162" s="294"/>
      <c r="N162" s="294"/>
      <c r="O162" s="294"/>
      <c r="P162" s="294"/>
      <c r="Q162" s="42"/>
    </row>
    <row r="163" spans="1:17">
      <c r="A163" s="294"/>
      <c r="B163" s="294"/>
      <c r="C163" s="294"/>
      <c r="D163" s="294"/>
      <c r="E163" s="294"/>
      <c r="F163" s="294"/>
      <c r="G163" s="294"/>
      <c r="H163" s="294"/>
      <c r="I163" s="294"/>
      <c r="J163" s="294"/>
      <c r="K163" s="294"/>
      <c r="L163" s="294"/>
      <c r="M163" s="294"/>
      <c r="N163" s="294"/>
      <c r="O163" s="294"/>
      <c r="P163" s="294"/>
      <c r="Q163" s="42"/>
    </row>
    <row r="164" spans="1:17">
      <c r="A164" s="294"/>
      <c r="B164" s="294"/>
      <c r="C164" s="294"/>
      <c r="D164" s="294"/>
      <c r="E164" s="294"/>
      <c r="F164" s="294"/>
      <c r="G164" s="294"/>
      <c r="H164" s="294"/>
      <c r="I164" s="294"/>
      <c r="J164" s="294"/>
      <c r="K164" s="294"/>
      <c r="L164" s="294"/>
      <c r="M164" s="294"/>
      <c r="N164" s="294"/>
      <c r="O164" s="294"/>
      <c r="P164" s="294"/>
      <c r="Q164" s="42"/>
    </row>
    <row r="165" spans="1:17">
      <c r="A165" s="294"/>
      <c r="B165" s="294"/>
      <c r="C165" s="294"/>
      <c r="D165" s="294"/>
      <c r="E165" s="294"/>
      <c r="F165" s="294"/>
      <c r="G165" s="294"/>
      <c r="H165" s="294"/>
      <c r="I165" s="294"/>
      <c r="J165" s="294"/>
      <c r="K165" s="294"/>
      <c r="L165" s="294"/>
      <c r="M165" s="294"/>
      <c r="N165" s="294"/>
      <c r="O165" s="294"/>
      <c r="P165" s="294"/>
      <c r="Q165" s="42"/>
    </row>
    <row r="166" spans="1:17">
      <c r="A166" s="42"/>
      <c r="B166" s="42"/>
      <c r="C166" s="42"/>
      <c r="D166" s="42"/>
      <c r="E166" s="42"/>
      <c r="F166" s="42"/>
      <c r="G166" s="42"/>
      <c r="H166" s="42"/>
      <c r="I166" s="42"/>
      <c r="J166" s="42"/>
      <c r="K166" s="42"/>
      <c r="L166" s="42"/>
      <c r="M166" s="42"/>
      <c r="N166" s="42"/>
      <c r="O166" s="42"/>
      <c r="P166" s="42"/>
      <c r="Q166" s="42"/>
    </row>
  </sheetData>
  <mergeCells count="277">
    <mergeCell ref="O49:P49"/>
    <mergeCell ref="F42:G43"/>
    <mergeCell ref="I42:L45"/>
    <mergeCell ref="N42:P45"/>
    <mergeCell ref="A44:D45"/>
    <mergeCell ref="F44:G45"/>
    <mergeCell ref="A48:D48"/>
    <mergeCell ref="A49:D49"/>
    <mergeCell ref="M53:N53"/>
    <mergeCell ref="O53:P53"/>
    <mergeCell ref="M60:N61"/>
    <mergeCell ref="O60:P61"/>
    <mergeCell ref="A58:B59"/>
    <mergeCell ref="A60:B61"/>
    <mergeCell ref="C60:D61"/>
    <mergeCell ref="E60:F61"/>
    <mergeCell ref="G60:H61"/>
    <mergeCell ref="I60:J61"/>
    <mergeCell ref="K60:L61"/>
    <mergeCell ref="K58:L59"/>
    <mergeCell ref="M58:N59"/>
    <mergeCell ref="M55:N57"/>
    <mergeCell ref="O55:P57"/>
    <mergeCell ref="C58:D59"/>
    <mergeCell ref="E58:F59"/>
    <mergeCell ref="G58:H59"/>
    <mergeCell ref="I58:J59"/>
    <mergeCell ref="O58:P59"/>
    <mergeCell ref="M54:N54"/>
    <mergeCell ref="O54:P54"/>
    <mergeCell ref="A54:B54"/>
    <mergeCell ref="A55:B57"/>
    <mergeCell ref="C55:D57"/>
    <mergeCell ref="E55:F57"/>
    <mergeCell ref="G55:H57"/>
    <mergeCell ref="I55:J57"/>
    <mergeCell ref="K55:L57"/>
    <mergeCell ref="A53:B53"/>
    <mergeCell ref="C53:D53"/>
    <mergeCell ref="E53:F53"/>
    <mergeCell ref="G53:H53"/>
    <mergeCell ref="I53:J53"/>
    <mergeCell ref="K53:L53"/>
    <mergeCell ref="C54:D54"/>
    <mergeCell ref="E54:F54"/>
    <mergeCell ref="G54:H54"/>
    <mergeCell ref="I54:J54"/>
    <mergeCell ref="K54:L54"/>
    <mergeCell ref="O9:P9"/>
    <mergeCell ref="I10:J10"/>
    <mergeCell ref="O10:P10"/>
    <mergeCell ref="I11:J11"/>
    <mergeCell ref="A50:D50"/>
    <mergeCell ref="G50:H50"/>
    <mergeCell ref="K50:L50"/>
    <mergeCell ref="O50:P50"/>
    <mergeCell ref="G51:H51"/>
    <mergeCell ref="K51:L51"/>
    <mergeCell ref="O51:P51"/>
    <mergeCell ref="A51:D51"/>
    <mergeCell ref="O11:P11"/>
    <mergeCell ref="J13:P14"/>
    <mergeCell ref="J15:P16"/>
    <mergeCell ref="J17:P18"/>
    <mergeCell ref="J19:P20"/>
    <mergeCell ref="A41:P41"/>
    <mergeCell ref="A42:D43"/>
    <mergeCell ref="K48:L48"/>
    <mergeCell ref="O48:P48"/>
    <mergeCell ref="G48:H48"/>
    <mergeCell ref="G49:H49"/>
    <mergeCell ref="K49:L49"/>
    <mergeCell ref="F11:G11"/>
    <mergeCell ref="A6:D6"/>
    <mergeCell ref="A7:D7"/>
    <mergeCell ref="A8:D8"/>
    <mergeCell ref="A9:D9"/>
    <mergeCell ref="A10:D10"/>
    <mergeCell ref="A11:D11"/>
    <mergeCell ref="A1:B1"/>
    <mergeCell ref="C1:I1"/>
    <mergeCell ref="A3:P3"/>
    <mergeCell ref="A4:D4"/>
    <mergeCell ref="O4:P5"/>
    <mergeCell ref="A5:D5"/>
    <mergeCell ref="O6:P6"/>
    <mergeCell ref="I6:J6"/>
    <mergeCell ref="L6:M6"/>
    <mergeCell ref="I7:J7"/>
    <mergeCell ref="L7:M7"/>
    <mergeCell ref="O7:P7"/>
    <mergeCell ref="L8:M8"/>
    <mergeCell ref="O8:P8"/>
    <mergeCell ref="L10:M10"/>
    <mergeCell ref="L11:M11"/>
    <mergeCell ref="I8:J8"/>
    <mergeCell ref="I4:M4"/>
    <mergeCell ref="I5:J5"/>
    <mergeCell ref="L5:M5"/>
    <mergeCell ref="F4:G5"/>
    <mergeCell ref="F6:G6"/>
    <mergeCell ref="F7:G7"/>
    <mergeCell ref="F8:G8"/>
    <mergeCell ref="F9:G9"/>
    <mergeCell ref="F10:G10"/>
    <mergeCell ref="I9:J9"/>
    <mergeCell ref="L9:M9"/>
    <mergeCell ref="A89:D90"/>
    <mergeCell ref="E89:G90"/>
    <mergeCell ref="A92:E93"/>
    <mergeCell ref="F92:G93"/>
    <mergeCell ref="A94:E95"/>
    <mergeCell ref="F94:G95"/>
    <mergeCell ref="A96:G103"/>
    <mergeCell ref="A105:M105"/>
    <mergeCell ref="H106:M106"/>
    <mergeCell ref="A84:G84"/>
    <mergeCell ref="I84:K84"/>
    <mergeCell ref="E85:G86"/>
    <mergeCell ref="I85:K85"/>
    <mergeCell ref="I86:K86"/>
    <mergeCell ref="A85:D86"/>
    <mergeCell ref="A87:D87"/>
    <mergeCell ref="E87:G87"/>
    <mergeCell ref="A88:D88"/>
    <mergeCell ref="E88:G88"/>
    <mergeCell ref="A149:P165"/>
    <mergeCell ref="M136:N136"/>
    <mergeCell ref="M137:N137"/>
    <mergeCell ref="M139:N139"/>
    <mergeCell ref="K142:M142"/>
    <mergeCell ref="M143:N143"/>
    <mergeCell ref="M144:N144"/>
    <mergeCell ref="M145:N145"/>
    <mergeCell ref="D76:F76"/>
    <mergeCell ref="D77:F77"/>
    <mergeCell ref="D78:F78"/>
    <mergeCell ref="H78:J78"/>
    <mergeCell ref="D79:F79"/>
    <mergeCell ref="H79:J79"/>
    <mergeCell ref="H80:J80"/>
    <mergeCell ref="N84:O84"/>
    <mergeCell ref="N85:O85"/>
    <mergeCell ref="N86:O86"/>
    <mergeCell ref="N87:O87"/>
    <mergeCell ref="I87:K87"/>
    <mergeCell ref="I88:K88"/>
    <mergeCell ref="M88:P88"/>
    <mergeCell ref="K90:P90"/>
    <mergeCell ref="H81:J81"/>
    <mergeCell ref="H135:I135"/>
    <mergeCell ref="M135:N135"/>
    <mergeCell ref="C136:D136"/>
    <mergeCell ref="H136:I136"/>
    <mergeCell ref="C137:D137"/>
    <mergeCell ref="M138:N138"/>
    <mergeCell ref="H146:I146"/>
    <mergeCell ref="H147:I147"/>
    <mergeCell ref="H137:I137"/>
    <mergeCell ref="H138:I138"/>
    <mergeCell ref="H139:I139"/>
    <mergeCell ref="F142:H142"/>
    <mergeCell ref="H143:I143"/>
    <mergeCell ref="H144:I144"/>
    <mergeCell ref="H145:I145"/>
    <mergeCell ref="M146:N146"/>
    <mergeCell ref="M147:N147"/>
    <mergeCell ref="C138:D138"/>
    <mergeCell ref="C139:D139"/>
    <mergeCell ref="A142:C142"/>
    <mergeCell ref="C143:D143"/>
    <mergeCell ref="C144:D144"/>
    <mergeCell ref="C145:D145"/>
    <mergeCell ref="C146:D146"/>
    <mergeCell ref="C147:D147"/>
    <mergeCell ref="C135:D135"/>
    <mergeCell ref="A131:C131"/>
    <mergeCell ref="D131:F131"/>
    <mergeCell ref="H131:I131"/>
    <mergeCell ref="A132:C132"/>
    <mergeCell ref="D132:F132"/>
    <mergeCell ref="H132:I132"/>
    <mergeCell ref="K132:L132"/>
    <mergeCell ref="A134:C134"/>
    <mergeCell ref="F134:H134"/>
    <mergeCell ref="K134:M134"/>
    <mergeCell ref="K131:M131"/>
    <mergeCell ref="A126:C126"/>
    <mergeCell ref="D126:F126"/>
    <mergeCell ref="K126:M126"/>
    <mergeCell ref="A127:C127"/>
    <mergeCell ref="D127:F127"/>
    <mergeCell ref="K127:M127"/>
    <mergeCell ref="A129:C129"/>
    <mergeCell ref="A130:C130"/>
    <mergeCell ref="D130:F130"/>
    <mergeCell ref="H130:I130"/>
    <mergeCell ref="K130:M130"/>
    <mergeCell ref="H128:I128"/>
    <mergeCell ref="H129:I129"/>
    <mergeCell ref="H126:I126"/>
    <mergeCell ref="H127:I127"/>
    <mergeCell ref="A128:C128"/>
    <mergeCell ref="D128:F128"/>
    <mergeCell ref="K128:M128"/>
    <mergeCell ref="D129:F129"/>
    <mergeCell ref="K129:M129"/>
    <mergeCell ref="A106:G106"/>
    <mergeCell ref="A107:G107"/>
    <mergeCell ref="H107:M107"/>
    <mergeCell ref="A108:G108"/>
    <mergeCell ref="H108:M108"/>
    <mergeCell ref="A110:P123"/>
    <mergeCell ref="A125:C125"/>
    <mergeCell ref="K125:M125"/>
    <mergeCell ref="D125:F125"/>
    <mergeCell ref="H125:I125"/>
    <mergeCell ref="A82:B82"/>
    <mergeCell ref="A66:F66"/>
    <mergeCell ref="A67:F67"/>
    <mergeCell ref="A68:F68"/>
    <mergeCell ref="A69:F69"/>
    <mergeCell ref="A73:B74"/>
    <mergeCell ref="D73:F74"/>
    <mergeCell ref="D75:F75"/>
    <mergeCell ref="L76:M76"/>
    <mergeCell ref="L77:M77"/>
    <mergeCell ref="L78:M78"/>
    <mergeCell ref="L79:M79"/>
    <mergeCell ref="L80:M80"/>
    <mergeCell ref="L81:M81"/>
    <mergeCell ref="K82:L82"/>
    <mergeCell ref="M82:N82"/>
    <mergeCell ref="D80:F80"/>
    <mergeCell ref="D81:F81"/>
    <mergeCell ref="C82:D82"/>
    <mergeCell ref="E82:F82"/>
    <mergeCell ref="H82:J82"/>
    <mergeCell ref="O76:P76"/>
    <mergeCell ref="O77:P77"/>
    <mergeCell ref="O78:P78"/>
    <mergeCell ref="O79:P79"/>
    <mergeCell ref="O80:P80"/>
    <mergeCell ref="O81:P81"/>
    <mergeCell ref="A75:B75"/>
    <mergeCell ref="A76:B76"/>
    <mergeCell ref="A77:B77"/>
    <mergeCell ref="A78:B78"/>
    <mergeCell ref="A79:B79"/>
    <mergeCell ref="A80:B80"/>
    <mergeCell ref="A81:B81"/>
    <mergeCell ref="L73:M74"/>
    <mergeCell ref="L75:M75"/>
    <mergeCell ref="M67:O67"/>
    <mergeCell ref="M68:O68"/>
    <mergeCell ref="M69:O69"/>
    <mergeCell ref="A72:P72"/>
    <mergeCell ref="A63:C63"/>
    <mergeCell ref="H63:J63"/>
    <mergeCell ref="M63:O63"/>
    <mergeCell ref="A64:C64"/>
    <mergeCell ref="H64:J64"/>
    <mergeCell ref="A65:F65"/>
    <mergeCell ref="M66:O66"/>
    <mergeCell ref="O73:P74"/>
    <mergeCell ref="O75:P75"/>
    <mergeCell ref="M64:O64"/>
    <mergeCell ref="M65:O65"/>
    <mergeCell ref="H73:J74"/>
    <mergeCell ref="H75:J75"/>
    <mergeCell ref="H76:J76"/>
    <mergeCell ref="H77:J77"/>
    <mergeCell ref="H65:J65"/>
    <mergeCell ref="H66:J66"/>
    <mergeCell ref="H67:J67"/>
    <mergeCell ref="H68:J68"/>
    <mergeCell ref="H69:J69"/>
  </mergeCells>
  <pageMargins left="0.511811024" right="0.511811024" top="0.78740157499999996" bottom="0.78740157499999996" header="0.31496062000000002" footer="0.31496062000000002"/>
  <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'BD tratado'!$E$1:$S$1</xm:f>
          </x14:formula1>
          <xm:sqref>A4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99"/>
  <sheetViews>
    <sheetView tabSelected="1" workbookViewId="0">
      <selection sqref="A1:D2"/>
    </sheetView>
  </sheetViews>
  <sheetFormatPr defaultColWidth="12.5703125" defaultRowHeight="15.75" customHeight="1"/>
  <cols>
    <col min="1" max="4" width="7.42578125" customWidth="1"/>
  </cols>
  <sheetData>
    <row r="1" spans="1:34" ht="12.75">
      <c r="A1" s="356" t="str">
        <f>Avaliação!B1</f>
        <v>Claudinei Rogério Gasparoto</v>
      </c>
      <c r="B1" s="294"/>
      <c r="C1" s="294"/>
      <c r="D1" s="378"/>
      <c r="E1" s="321" t="s">
        <v>42</v>
      </c>
      <c r="F1" s="378"/>
      <c r="G1" s="321" t="s">
        <v>43</v>
      </c>
      <c r="H1" s="378"/>
      <c r="I1" s="321" t="s">
        <v>44</v>
      </c>
      <c r="J1" s="378"/>
      <c r="K1" s="321" t="s">
        <v>45</v>
      </c>
      <c r="L1" s="378"/>
      <c r="M1" s="321" t="s">
        <v>46</v>
      </c>
      <c r="N1" s="378"/>
      <c r="O1" s="321" t="s">
        <v>47</v>
      </c>
      <c r="P1" s="378"/>
      <c r="Q1" s="321" t="s">
        <v>48</v>
      </c>
      <c r="R1" s="378"/>
      <c r="S1" s="321"/>
      <c r="T1" s="378"/>
      <c r="U1" s="321"/>
      <c r="V1" s="378"/>
      <c r="W1" s="321"/>
      <c r="X1" s="378"/>
      <c r="Y1" s="321"/>
      <c r="Z1" s="378"/>
      <c r="AA1" s="321"/>
      <c r="AB1" s="378"/>
      <c r="AC1" s="321"/>
      <c r="AD1" s="378"/>
      <c r="AE1" s="321"/>
      <c r="AF1" s="378"/>
      <c r="AG1" s="321"/>
      <c r="AH1" s="378"/>
    </row>
    <row r="2" spans="1:34" ht="12.75">
      <c r="A2" s="317"/>
      <c r="B2" s="317"/>
      <c r="C2" s="317"/>
      <c r="D2" s="380"/>
      <c r="E2" s="379">
        <f ca="1">IF(E$1="","",OFFSET(Avaliação!$C$3,,MATCH(E$1,Avaliação!$D$2:$AF$2,0)))</f>
        <v>45078</v>
      </c>
      <c r="F2" s="378"/>
      <c r="G2" s="379">
        <f ca="1">IF(G$1="","",OFFSET(Avaliação!$C$3,,MATCH(G$1,Avaliação!$D$2:$AF$2,0)))</f>
        <v>45301</v>
      </c>
      <c r="H2" s="378"/>
      <c r="I2" s="379">
        <f ca="1">IF(I$1="","",OFFSET(Avaliação!$C$3,,MATCH(I$1,Avaliação!$D$2:$AF$2,0)))</f>
        <v>45433</v>
      </c>
      <c r="J2" s="378"/>
      <c r="K2" s="379">
        <f ca="1">IF(K$1="","",OFFSET(Avaliação!$C$3,,MATCH(K$1,Avaliação!$D$2:$AF$2,0)))</f>
        <v>45611</v>
      </c>
      <c r="L2" s="378"/>
      <c r="M2" s="379">
        <f ca="1">IF(M$1="","",OFFSET(Avaliação!$C$3,,MATCH(M$1,Avaliação!$D$2:$AF$2,0)))</f>
        <v>45752</v>
      </c>
      <c r="N2" s="378"/>
      <c r="O2" s="379">
        <f ca="1">IF(O$1="","",OFFSET(Avaliação!$C$3,,MATCH(O$1,Avaliação!$D$2:$AF$2,0)))</f>
        <v>45829</v>
      </c>
      <c r="P2" s="378"/>
      <c r="Q2" s="379">
        <f ca="1">IF(Q$1="","",OFFSET(Avaliação!$C$3,,MATCH(Q$1,Avaliação!$D$2:$AF$2,0)))</f>
        <v>45938</v>
      </c>
      <c r="R2" s="378"/>
      <c r="S2" s="381" t="str">
        <f ca="1">IF(S$1="","",OFFSET(Avaliação!$C$3,,MATCH(S$1,Avaliação!$D$2:$AF$2,0)))</f>
        <v/>
      </c>
      <c r="T2" s="378"/>
      <c r="U2" s="381" t="str">
        <f ca="1">IF(U$1="","",OFFSET(Avaliação!$C$3,,MATCH(U$1,Avaliação!$D$2:$AF$2,0)))</f>
        <v/>
      </c>
      <c r="V2" s="378"/>
      <c r="W2" s="381" t="str">
        <f ca="1">IF(W$1="","",OFFSET(Avaliação!$C$3,,MATCH(W$1,Avaliação!$D$2:$AF$2,0)))</f>
        <v/>
      </c>
      <c r="X2" s="378"/>
      <c r="Y2" s="381" t="str">
        <f ca="1">IF(Y$1="","",OFFSET(Avaliação!$C$3,,MATCH(Y$1,Avaliação!$D$2:$AF$2,0)))</f>
        <v/>
      </c>
      <c r="Z2" s="378"/>
      <c r="AA2" s="381" t="str">
        <f ca="1">IF(AA$1="","",OFFSET(Avaliação!$C$3,,MATCH(AA$1,Avaliação!$D$2:$AF$2,0)))</f>
        <v/>
      </c>
      <c r="AB2" s="378"/>
      <c r="AC2" s="381" t="str">
        <f ca="1">IF(AC$1="","",OFFSET(Avaliação!$C$3,,MATCH(AC$1,Avaliação!$D$2:$AF$2,0)))</f>
        <v/>
      </c>
      <c r="AD2" s="378"/>
      <c r="AE2" s="381" t="str">
        <f ca="1">IF(AE$1="","",OFFSET(Avaliação!$C$3,,MATCH(AE$1,Avaliação!$D$2:$AF$2,0)))</f>
        <v/>
      </c>
      <c r="AF2" s="378"/>
      <c r="AG2" s="381" t="str">
        <f ca="1">IF(AG$1="","",OFFSET(Avaliação!$C$3,,MATCH(AG$1,Avaliação!$D$2:$AF$2,0)))</f>
        <v/>
      </c>
      <c r="AH2" s="378"/>
    </row>
    <row r="3" spans="1:34" ht="12.75">
      <c r="A3" s="84"/>
      <c r="B3" s="85"/>
      <c r="C3" s="85"/>
      <c r="D3" s="86"/>
      <c r="E3" s="87" t="s">
        <v>293</v>
      </c>
      <c r="F3" s="88" t="s">
        <v>294</v>
      </c>
      <c r="G3" s="87" t="s">
        <v>293</v>
      </c>
      <c r="H3" s="88" t="s">
        <v>294</v>
      </c>
      <c r="I3" s="87" t="s">
        <v>293</v>
      </c>
      <c r="J3" s="88" t="s">
        <v>294</v>
      </c>
      <c r="K3" s="87" t="s">
        <v>293</v>
      </c>
      <c r="L3" s="88" t="s">
        <v>294</v>
      </c>
      <c r="M3" s="87" t="s">
        <v>293</v>
      </c>
      <c r="N3" s="88" t="s">
        <v>294</v>
      </c>
      <c r="O3" s="87" t="s">
        <v>293</v>
      </c>
      <c r="P3" s="88" t="s">
        <v>294</v>
      </c>
      <c r="Q3" s="87" t="s">
        <v>293</v>
      </c>
      <c r="R3" s="88" t="s">
        <v>294</v>
      </c>
      <c r="S3" s="87" t="s">
        <v>293</v>
      </c>
      <c r="T3" s="88" t="s">
        <v>294</v>
      </c>
      <c r="U3" s="87" t="s">
        <v>293</v>
      </c>
      <c r="V3" s="88" t="s">
        <v>294</v>
      </c>
      <c r="W3" s="87" t="s">
        <v>293</v>
      </c>
      <c r="X3" s="88" t="s">
        <v>294</v>
      </c>
      <c r="Y3" s="87" t="s">
        <v>293</v>
      </c>
      <c r="Z3" s="88" t="s">
        <v>294</v>
      </c>
      <c r="AA3" s="87" t="s">
        <v>293</v>
      </c>
      <c r="AB3" s="88" t="s">
        <v>294</v>
      </c>
      <c r="AC3" s="87" t="s">
        <v>293</v>
      </c>
      <c r="AD3" s="88" t="s">
        <v>294</v>
      </c>
      <c r="AE3" s="87" t="s">
        <v>293</v>
      </c>
      <c r="AF3" s="88" t="s">
        <v>294</v>
      </c>
      <c r="AG3" s="87" t="s">
        <v>293</v>
      </c>
      <c r="AH3" s="88" t="s">
        <v>294</v>
      </c>
    </row>
    <row r="4" spans="1:34" ht="12.75">
      <c r="A4" s="382" t="s">
        <v>295</v>
      </c>
      <c r="B4" s="294"/>
      <c r="C4" s="294"/>
      <c r="D4" s="378"/>
      <c r="E4" s="89">
        <v>120</v>
      </c>
      <c r="F4" s="90">
        <v>80</v>
      </c>
      <c r="G4" s="89">
        <v>140</v>
      </c>
      <c r="H4" s="90">
        <v>70</v>
      </c>
      <c r="I4" s="89"/>
      <c r="J4" s="90"/>
      <c r="K4" s="89"/>
      <c r="L4" s="90"/>
      <c r="M4" s="89">
        <v>142</v>
      </c>
      <c r="N4" s="90">
        <v>212</v>
      </c>
      <c r="O4" s="89">
        <v>112</v>
      </c>
      <c r="P4" s="90">
        <v>190</v>
      </c>
      <c r="Q4" s="89">
        <v>112</v>
      </c>
      <c r="R4" s="90">
        <v>190</v>
      </c>
      <c r="S4" s="89"/>
      <c r="T4" s="90"/>
      <c r="U4" s="89"/>
      <c r="V4" s="90"/>
      <c r="W4" s="89"/>
      <c r="X4" s="90"/>
      <c r="Y4" s="89"/>
      <c r="Z4" s="90"/>
      <c r="AA4" s="89"/>
      <c r="AB4" s="90"/>
      <c r="AC4" s="89"/>
      <c r="AD4" s="90"/>
      <c r="AE4" s="89"/>
      <c r="AF4" s="90"/>
      <c r="AG4" s="89"/>
      <c r="AH4" s="90"/>
    </row>
    <row r="5" spans="1:34" ht="12.75">
      <c r="A5" s="383" t="s">
        <v>296</v>
      </c>
      <c r="B5" s="317"/>
      <c r="C5" s="317"/>
      <c r="D5" s="380"/>
      <c r="E5" s="91"/>
      <c r="F5" s="92"/>
      <c r="G5" s="91">
        <v>162</v>
      </c>
      <c r="H5" s="92">
        <v>60</v>
      </c>
      <c r="I5" s="91"/>
      <c r="J5" s="92"/>
      <c r="K5" s="91"/>
      <c r="L5" s="92"/>
      <c r="M5" s="91">
        <v>63</v>
      </c>
      <c r="N5" s="92">
        <v>61</v>
      </c>
      <c r="O5" s="91">
        <v>70</v>
      </c>
      <c r="P5" s="92">
        <v>76</v>
      </c>
      <c r="Q5" s="91">
        <v>72</v>
      </c>
      <c r="R5" s="92">
        <v>70</v>
      </c>
      <c r="S5" s="91"/>
      <c r="T5" s="92"/>
      <c r="U5" s="91"/>
      <c r="V5" s="92"/>
      <c r="W5" s="91"/>
      <c r="X5" s="92"/>
      <c r="Y5" s="91"/>
      <c r="Z5" s="92"/>
      <c r="AA5" s="91"/>
      <c r="AB5" s="92"/>
      <c r="AC5" s="91"/>
      <c r="AD5" s="92"/>
      <c r="AE5" s="91"/>
      <c r="AF5" s="92"/>
      <c r="AG5" s="91"/>
      <c r="AH5" s="92"/>
    </row>
    <row r="6" spans="1:34" ht="12.75">
      <c r="A6" s="382"/>
      <c r="B6" s="294"/>
      <c r="C6" s="294"/>
      <c r="D6" s="378"/>
      <c r="E6" s="87" t="s">
        <v>297</v>
      </c>
      <c r="F6" s="88" t="s">
        <v>189</v>
      </c>
      <c r="G6" s="87" t="s">
        <v>297</v>
      </c>
      <c r="H6" s="88" t="s">
        <v>189</v>
      </c>
      <c r="I6" s="87" t="s">
        <v>297</v>
      </c>
      <c r="J6" s="88" t="s">
        <v>189</v>
      </c>
      <c r="K6" s="87" t="s">
        <v>297</v>
      </c>
      <c r="L6" s="88" t="s">
        <v>189</v>
      </c>
      <c r="M6" s="87" t="s">
        <v>297</v>
      </c>
      <c r="N6" s="88" t="s">
        <v>189</v>
      </c>
      <c r="O6" s="87" t="s">
        <v>297</v>
      </c>
      <c r="P6" s="88" t="s">
        <v>189</v>
      </c>
      <c r="Q6" s="87" t="s">
        <v>297</v>
      </c>
      <c r="R6" s="88" t="s">
        <v>189</v>
      </c>
      <c r="S6" s="87" t="s">
        <v>297</v>
      </c>
      <c r="T6" s="88" t="s">
        <v>189</v>
      </c>
      <c r="U6" s="87" t="s">
        <v>297</v>
      </c>
      <c r="V6" s="88" t="s">
        <v>189</v>
      </c>
      <c r="W6" s="87" t="s">
        <v>297</v>
      </c>
      <c r="X6" s="88" t="s">
        <v>189</v>
      </c>
      <c r="Y6" s="87" t="s">
        <v>297</v>
      </c>
      <c r="Z6" s="88" t="s">
        <v>189</v>
      </c>
      <c r="AA6" s="87" t="s">
        <v>297</v>
      </c>
      <c r="AB6" s="88" t="s">
        <v>189</v>
      </c>
      <c r="AC6" s="87" t="s">
        <v>297</v>
      </c>
      <c r="AD6" s="88" t="s">
        <v>189</v>
      </c>
      <c r="AE6" s="87" t="s">
        <v>297</v>
      </c>
      <c r="AF6" s="88" t="s">
        <v>189</v>
      </c>
      <c r="AG6" s="87" t="s">
        <v>297</v>
      </c>
      <c r="AH6" s="88" t="s">
        <v>189</v>
      </c>
    </row>
    <row r="7" spans="1:34" ht="12.75">
      <c r="A7" s="382" t="s">
        <v>298</v>
      </c>
      <c r="B7" s="294"/>
      <c r="C7" s="294"/>
      <c r="D7" s="378"/>
      <c r="E7" s="93" t="e">
        <f ca="1">_xludf.IFS(E17="","",E15="Teste de Esteira Progressiva",(0.2*(E11*16.66))+((0.9*(E11*16.66))*(OFFSET($B$17,_xludf.MAXIFS($A$17:$A$34,E$17:E$34,"&gt;0"),)*1.746/100)+3.5),TRUE(),"-")</f>
        <v>#NAME?</v>
      </c>
      <c r="F7" s="90">
        <v>56.6</v>
      </c>
      <c r="G7" s="93" t="e">
        <f ca="1">_xludf.IFS(G17="","",G15="Teste de Esteira Progressiva",(0.2*(G11*16.66))+((0.9*(G11*16.66))*(OFFSET($B$17,_xludf.MAXIFS($A$17:$A$34,G$17:G$34,"&gt;0"),)*1.746/100)+3.5),TRUE(),"-")</f>
        <v>#NAME?</v>
      </c>
      <c r="H7" s="90">
        <v>57.4</v>
      </c>
      <c r="I7" s="93" t="e">
        <f ca="1">_xludf.IFS(I17="","",I15="Teste de Esteira Progressiva",(0.2*(I11*16.66))+((0.9*(I11*16.66))*(OFFSET($B$17,_xludf.MAXIFS($A$17:$A$34,I$17:I$34,"&gt;0"),)*1.746/100)+3.5),TRUE(),"-")</f>
        <v>#NAME?</v>
      </c>
      <c r="J7" s="90">
        <v>60.46</v>
      </c>
      <c r="K7" s="93" t="e">
        <f ca="1">_xludf.IFS(K17="","",K15="Teste de Esteira Progressiva",(0.2*(K11*16.66))+((0.9*(K11*16.66))*(OFFSET($B$17,_xludf.MAXIFS($A$17:$A$34,K$17:K$34,"&gt;0"),)*1.746/100)+3.5),TRUE(),"-")</f>
        <v>#NAME?</v>
      </c>
      <c r="L7" s="90">
        <v>60.46</v>
      </c>
      <c r="M7" s="93" t="e">
        <f ca="1">_xludf.IFS(M17="","",M15="Teste de Esteira Progressiva",(0.2*(M11*16.66))+((0.9*(M11*16.66))*(OFFSET($B$17,_xludf.MAXIFS($A$17:$A$34,M$17:M$34,"&gt;0"),)*1.746/100)+3.5),TRUE(),"-")</f>
        <v>#NAME?</v>
      </c>
      <c r="N7" s="90">
        <v>57.44</v>
      </c>
      <c r="O7" s="93" t="e">
        <f ca="1">_xludf.IFS(O17="","",O15="Teste de Esteira Progressiva",(0.2*(O11*16.66))+((0.9*(O11*16.66))*(OFFSET($B$17,_xludf.MAXIFS($A$17:$A$34,O$17:O$34,"&gt;0"),)*1.746/100)+3.5),TRUE(),"-")</f>
        <v>#NAME?</v>
      </c>
      <c r="P7" s="90"/>
      <c r="Q7" s="93" t="e">
        <f ca="1">_xludf.IFS(Q17="","",Q15="Teste de Esteira Progressiva",(0.2*(Q11*16.66))+((0.9*(Q11*16.66))*(OFFSET($B$17,_xludf.MAXIFS($A$17:$A$34,Q$17:Q$34,"&gt;0"),)*1.746/100)+3.5),TRUE(),"-")</f>
        <v>#NAME?</v>
      </c>
      <c r="R7" s="90">
        <v>60.46</v>
      </c>
      <c r="S7" s="93" t="e">
        <f ca="1">_xludf.IFS(S17="","",S15="Teste de Esteira Progressiva",(0.2*(S11*16.66))+((0.9*(S11*16.66))*(OFFSET($B$17,_xludf.MAXIFS($A$17:$A$34,S$17:S$34,"&gt;0"),)*1.746/100)+3.5),TRUE(),"-")</f>
        <v>#NAME?</v>
      </c>
      <c r="T7" s="90"/>
      <c r="U7" s="93" t="e">
        <f ca="1">_xludf.IFS(U17="","",U15="Teste de Esteira Progressiva",(0.2*(U11*16.66))+((0.9*(U11*16.66))*(OFFSET($B$17,_xludf.MAXIFS($A$17:$A$34,U$17:U$34,"&gt;0"),)*1.746/100)+3.5),TRUE(),"-")</f>
        <v>#NAME?</v>
      </c>
      <c r="V7" s="90"/>
      <c r="W7" s="93" t="e">
        <f ca="1">_xludf.IFS(W17="","",W15="Teste de Esteira Progressiva",(0.2*(W11*16.66))+((0.9*(W11*16.66))*(OFFSET($B$17,_xludf.MAXIFS($A$17:$A$34,W$17:W$34,"&gt;0"),)*1.746/100)+3.5),TRUE(),"-")</f>
        <v>#NAME?</v>
      </c>
      <c r="X7" s="90"/>
      <c r="Y7" s="93" t="e">
        <f ca="1">_xludf.IFS(Y17="","",Y15="Teste de Esteira Progressiva",(0.2*(Y11*16.66))+((0.9*(Y11*16.66))*(OFFSET($B$17,_xludf.MAXIFS($A$17:$A$34,Y$17:Y$34,"&gt;0"),)*1.746/100)+3.5),TRUE(),"-")</f>
        <v>#NAME?</v>
      </c>
      <c r="Z7" s="90"/>
      <c r="AA7" s="93" t="e">
        <f ca="1">_xludf.IFS(AA17="","",AA15="Teste de Esteira Progressiva",(0.2*(AA11*16.66))+((0.9*(AA11*16.66))*(OFFSET($B$17,_xludf.MAXIFS($A$17:$A$34,AA$17:AA$34,"&gt;0"),)*1.746/100)+3.5),TRUE(),"-")</f>
        <v>#NAME?</v>
      </c>
      <c r="AB7" s="90"/>
      <c r="AC7" s="93" t="e">
        <f ca="1">_xludf.IFS(AC17="","",AC15="Teste de Esteira Progressiva",(0.2*(AC11*16.66))+((0.9*(AC11*16.66))*(OFFSET($B$17,_xludf.MAXIFS($A$17:$A$34,AC$17:AC$34,"&gt;0"),)*1.746/100)+3.5),TRUE(),"-")</f>
        <v>#NAME?</v>
      </c>
      <c r="AD7" s="90"/>
      <c r="AE7" s="93" t="e">
        <f ca="1">_xludf.IFS(AE17="","",AE15="Teste de Esteira Progressiva",(0.2*(AE11*16.66))+((0.9*(AE11*16.66))*(OFFSET($B$17,_xludf.MAXIFS($A$17:$A$34,AE$17:AE$34,"&gt;0"),)*1.746/100)+3.5),TRUE(),"-")</f>
        <v>#NAME?</v>
      </c>
      <c r="AF7" s="90"/>
      <c r="AG7" s="93" t="e">
        <f ca="1">_xludf.IFS(AG17="","",AG15="Teste de Esteira Progressiva",(0.2*(AG11*16.66))+((0.9*(AG11*16.66))*(OFFSET($B$17,_xludf.MAXIFS($A$17:$A$34,AG$17:AG$34,"&gt;0"),)*1.746/100)+3.5),TRUE(),"-")</f>
        <v>#NAME?</v>
      </c>
      <c r="AH7" s="90"/>
    </row>
    <row r="8" spans="1:34" ht="12.75">
      <c r="A8" s="382" t="s">
        <v>299</v>
      </c>
      <c r="B8" s="294"/>
      <c r="C8" s="294"/>
      <c r="D8" s="378"/>
      <c r="E8" s="94">
        <f>IF(E17="","",E65)</f>
        <v>138.5</v>
      </c>
      <c r="F8" s="90">
        <v>143</v>
      </c>
      <c r="G8" s="94">
        <f>IF(G17="","",G65)</f>
        <v>148.39999999999998</v>
      </c>
      <c r="H8" s="90">
        <v>148</v>
      </c>
      <c r="I8" s="94">
        <f>IF(I17="","",I65)</f>
        <v>143.30000000000001</v>
      </c>
      <c r="J8" s="90"/>
      <c r="K8" s="94">
        <f>IF(K17="","",K65)</f>
        <v>147.30000000000001</v>
      </c>
      <c r="L8" s="90">
        <v>155</v>
      </c>
      <c r="M8" s="94">
        <f>IF(M17="","",M65)</f>
        <v>145.80000000000001</v>
      </c>
      <c r="N8" s="90">
        <v>147</v>
      </c>
      <c r="O8" s="94">
        <f>IF(O17="","",O65)</f>
        <v>135.55000000000001</v>
      </c>
      <c r="P8" s="90"/>
      <c r="Q8" s="94">
        <f>IF(Q17="","",Q65)</f>
        <v>136.85</v>
      </c>
      <c r="R8" s="90">
        <v>138</v>
      </c>
      <c r="S8" s="94" t="str">
        <f>IF(S17="","",S65)</f>
        <v/>
      </c>
      <c r="T8" s="90"/>
      <c r="U8" s="94" t="str">
        <f>IF(U17="","",U65)</f>
        <v/>
      </c>
      <c r="V8" s="90"/>
      <c r="W8" s="94" t="str">
        <f>IF(W17="","",W65)</f>
        <v/>
      </c>
      <c r="X8" s="90"/>
      <c r="Y8" s="94" t="str">
        <f>IF(Y17="","",Y65)</f>
        <v/>
      </c>
      <c r="Z8" s="90"/>
      <c r="AA8" s="94" t="str">
        <f>IF(AA17="","",AA65)</f>
        <v/>
      </c>
      <c r="AB8" s="90"/>
      <c r="AC8" s="94" t="str">
        <f>IF(AC17="","",AC65)</f>
        <v/>
      </c>
      <c r="AD8" s="90"/>
      <c r="AE8" s="94" t="str">
        <f>IF(AE17="","",AE65)</f>
        <v/>
      </c>
      <c r="AF8" s="90"/>
      <c r="AG8" s="94" t="str">
        <f>IF(AG17="","",AG65)</f>
        <v/>
      </c>
      <c r="AH8" s="90"/>
    </row>
    <row r="9" spans="1:34" ht="12.75">
      <c r="A9" s="382" t="s">
        <v>300</v>
      </c>
      <c r="B9" s="294"/>
      <c r="C9" s="294"/>
      <c r="D9" s="378"/>
      <c r="E9" s="95" t="e">
        <f ca="1">IF(E17="","",F65)</f>
        <v>#NAME?</v>
      </c>
      <c r="F9" s="90"/>
      <c r="G9" s="95" t="e">
        <f ca="1">IF(G17="","",H65)</f>
        <v>#NAME?</v>
      </c>
      <c r="H9" s="90">
        <v>14</v>
      </c>
      <c r="I9" s="95" t="e">
        <f ca="1">IF(I17="","",J65)</f>
        <v>#NAME?</v>
      </c>
      <c r="J9" s="90"/>
      <c r="K9" s="95" t="e">
        <f ca="1">IF(K17="","",L65)</f>
        <v>#NAME?</v>
      </c>
      <c r="L9" s="90">
        <v>16</v>
      </c>
      <c r="M9" s="95" t="e">
        <f ca="1">IF(M17="","",N65)</f>
        <v>#NAME?</v>
      </c>
      <c r="N9" s="90">
        <v>15</v>
      </c>
      <c r="O9" s="95" t="e">
        <f ca="1">IF(O17="","",P65)</f>
        <v>#NAME?</v>
      </c>
      <c r="P9" s="90"/>
      <c r="Q9" s="95" t="e">
        <f ca="1">IF(Q17="","",R65)</f>
        <v>#NAME?</v>
      </c>
      <c r="R9" s="90">
        <v>15</v>
      </c>
      <c r="S9" s="95" t="str">
        <f>IF(S17="","",T65)</f>
        <v/>
      </c>
      <c r="T9" s="90"/>
      <c r="U9" s="95" t="str">
        <f>IF(U17="","",V65)</f>
        <v/>
      </c>
      <c r="V9" s="90"/>
      <c r="W9" s="95" t="str">
        <f>IF(W17="","",X65)</f>
        <v/>
      </c>
      <c r="X9" s="90"/>
      <c r="Y9" s="95" t="str">
        <f>IF(Y17="","",Z65)</f>
        <v/>
      </c>
      <c r="Z9" s="90"/>
      <c r="AA9" s="95" t="str">
        <f>IF(AA17="","",AB65)</f>
        <v/>
      </c>
      <c r="AB9" s="90"/>
      <c r="AC9" s="95" t="str">
        <f>IF(AC17="","",AD65)</f>
        <v/>
      </c>
      <c r="AD9" s="90"/>
      <c r="AE9" s="95" t="str">
        <f>IF(AE17="","",AF65)</f>
        <v/>
      </c>
      <c r="AF9" s="90"/>
      <c r="AG9" s="95" t="str">
        <f>IF(AG17="","",AH65)</f>
        <v/>
      </c>
      <c r="AH9" s="90"/>
    </row>
    <row r="10" spans="1:34" ht="12.75">
      <c r="A10" s="382" t="s">
        <v>301</v>
      </c>
      <c r="B10" s="294"/>
      <c r="C10" s="294"/>
      <c r="D10" s="378"/>
      <c r="E10" s="95" t="e">
        <f ca="1">IF(E17="","",IF(AND(E15="Teste de esteira progressiva",E9&gt;0),60/E9,""))</f>
        <v>#NAME?</v>
      </c>
      <c r="F10" s="96" t="str">
        <f>IF(AND(E15="Teste de Esteira Progressiva",F9&gt;0),60/F9,"")</f>
        <v/>
      </c>
      <c r="G10" s="95" t="e">
        <f ca="1">IF(G17="","",IF(AND(G15="Teste de esteira progressiva",G9&gt;0),60/G9,""))</f>
        <v>#NAME?</v>
      </c>
      <c r="H10" s="96">
        <f>IF(AND(G15="Teste de Esteira Progressiva",H9&gt;0),60/H9,"")</f>
        <v>4.2857142857142856</v>
      </c>
      <c r="I10" s="95" t="e">
        <f ca="1">IF(I17="","",IF(AND(I15="Teste de esteira progressiva",I9&gt;0),60/I9,""))</f>
        <v>#NAME?</v>
      </c>
      <c r="J10" s="96" t="str">
        <f>IF(AND(I15="Teste de Esteira Progressiva",J9&gt;0),60/J9,"")</f>
        <v/>
      </c>
      <c r="K10" s="95" t="e">
        <f ca="1">IF(K17="","",IF(AND(K15="Teste de esteira progressiva",K9&gt;0),60/K9,""))</f>
        <v>#NAME?</v>
      </c>
      <c r="L10" s="96">
        <f>IF(AND(K15="Teste de Esteira Progressiva",L9&gt;0),60/L9,"")</f>
        <v>3.75</v>
      </c>
      <c r="M10" s="95" t="e">
        <f ca="1">IF(M17="","",IF(AND(M15="Teste de esteira progressiva",M9&gt;0),60/M9,""))</f>
        <v>#NAME?</v>
      </c>
      <c r="N10" s="96">
        <f>IF(AND(M15="Teste de Esteira Progressiva",N9&gt;0),60/N9,"")</f>
        <v>4</v>
      </c>
      <c r="O10" s="95" t="e">
        <f ca="1">IF(O17="","",IF(AND(O15="Teste de esteira progressiva",O9&gt;0),60/O9,""))</f>
        <v>#NAME?</v>
      </c>
      <c r="P10" s="96" t="str">
        <f>IF(AND(O15="Teste de Esteira Progressiva",P9&gt;0),60/P9,"")</f>
        <v/>
      </c>
      <c r="Q10" s="95" t="e">
        <f ca="1">IF(Q17="","",IF(AND(Q15="Teste de esteira progressiva",Q9&gt;0),60/Q9,""))</f>
        <v>#NAME?</v>
      </c>
      <c r="R10" s="96">
        <f>IF(AND(Q15="Teste de Esteira Progressiva",R9&gt;0),60/R9,"")</f>
        <v>4</v>
      </c>
      <c r="S10" s="95" t="str">
        <f>IF(S17="","",IF(AND(S15="Teste de esteira progressiva",S9&gt;0),60/S9,""))</f>
        <v/>
      </c>
      <c r="T10" s="96" t="str">
        <f>IF(AND(S15="Teste de Esteira Progressiva",T9&gt;0),60/T9,"")</f>
        <v/>
      </c>
      <c r="U10" s="95" t="str">
        <f>IF(U17="","",IF(AND(U15="Teste de esteira progressiva",U9&gt;0),60/U9,""))</f>
        <v/>
      </c>
      <c r="V10" s="96" t="str">
        <f>IF(AND(U15="Teste de Esteira Progressiva",V9&gt;0),60/V9,"")</f>
        <v/>
      </c>
      <c r="W10" s="95" t="str">
        <f>IF(W17="","",IF(AND(W15="Teste de esteira progressiva",W9&gt;0),60/W9,""))</f>
        <v/>
      </c>
      <c r="X10" s="96" t="str">
        <f>IF(AND(W15="Teste de Esteira Progressiva",X9&gt;0),60/X9,"")</f>
        <v/>
      </c>
      <c r="Y10" s="95" t="str">
        <f>IF(Y17="","",IF(AND(Y15="Teste de esteira progressiva",Y9&gt;0),60/Y9,""))</f>
        <v/>
      </c>
      <c r="Z10" s="96" t="str">
        <f>IF(AND(Y15="Teste de Esteira Progressiva",Z9&gt;0),60/Z9,"")</f>
        <v/>
      </c>
      <c r="AA10" s="95" t="str">
        <f>IF(AA17="","",IF(AND(AA15="Teste de esteira progressiva",AA9&gt;0),60/AA9,""))</f>
        <v/>
      </c>
      <c r="AB10" s="96" t="str">
        <f>IF(AND(AA15="Teste de Esteira Progressiva",AB9&gt;0),60/AB9,"")</f>
        <v/>
      </c>
      <c r="AC10" s="95" t="str">
        <f>IF(AC17="","",IF(AND(AC15="Teste de esteira progressiva",AC9&gt;0),60/AC9,""))</f>
        <v/>
      </c>
      <c r="AD10" s="96" t="str">
        <f>IF(AND(AC15="Teste de Esteira Progressiva",AD9&gt;0),60/AD9,"")</f>
        <v/>
      </c>
      <c r="AE10" s="95" t="str">
        <f>IF(AE17="","",IF(AND(AE15="Teste de esteira progressiva",AE9&gt;0),60/AE9,""))</f>
        <v/>
      </c>
      <c r="AF10" s="96" t="str">
        <f>IF(AND(AE15="Teste de Esteira Progressiva",AF9&gt;0),60/AF9,"")</f>
        <v/>
      </c>
      <c r="AG10" s="95" t="str">
        <f>IF(AG17="","",IF(AND(AG15="Teste de esteira progressiva",AG9&gt;0),60/AG9,""))</f>
        <v/>
      </c>
      <c r="AH10" s="96" t="str">
        <f>IF(AND(AG15="Teste de Esteira Progressiva",AH9&gt;0),60/AH9,"")</f>
        <v/>
      </c>
    </row>
    <row r="11" spans="1:34" ht="12.75">
      <c r="A11" s="382" t="s">
        <v>302</v>
      </c>
      <c r="B11" s="294"/>
      <c r="C11" s="294"/>
      <c r="D11" s="378"/>
      <c r="E11" s="97" t="e">
        <f ca="1">IF(E17="","",OFFSET($B$17,_xludf.MAXIFS($A$17:$A$34,E$17:E$34,"&gt;0")-(E38="Estágio Interrompido"),_xludf.IFS(E$15="Teste de Esteira Progressiva",1,E$15="Teste Bicicleta ergométrica Balke",2)))</f>
        <v>#NAME?</v>
      </c>
      <c r="F11" s="90"/>
      <c r="G11" s="97" t="e">
        <f ca="1">IF(G17="","",OFFSET($B$17,_xludf.MAXIFS($A$17:$A$34,G$17:G$34,"&gt;0")-(G38="Estágio Interrompido"),_xludf.IFS(G$15="Teste de Esteira Progressiva",1,G$15="Teste Bicicleta ergométrica Balke",2)))</f>
        <v>#NAME?</v>
      </c>
      <c r="H11" s="90"/>
      <c r="I11" s="97" t="e">
        <f ca="1">IF(I17="","",OFFSET($B$17,_xludf.MAXIFS($A$17:$A$34,I$17:I$34,"&gt;0")-(I38="Estágio Interrompido"),_xludf.IFS(I$15="Teste de Esteira Progressiva",1,I$15="Teste Bicicleta ergométrica Balke",2)))</f>
        <v>#NAME?</v>
      </c>
      <c r="J11" s="90"/>
      <c r="K11" s="97" t="e">
        <f ca="1">IF(K17="","",OFFSET($B$17,_xludf.MAXIFS($A$17:$A$34,K$17:K$34,"&gt;0")-(K38="Estágio Interrompido"),_xludf.IFS(K$15="Teste de Esteira Progressiva",1,K$15="Teste Bicicleta ergométrica Balke",2)))</f>
        <v>#NAME?</v>
      </c>
      <c r="L11" s="90">
        <v>18</v>
      </c>
      <c r="M11" s="97" t="e">
        <f ca="1">IF(M17="","",OFFSET($B$17,_xludf.MAXIFS($A$17:$A$34,M$17:M$34,"&gt;0")-(M38="Estágio Interrompido"),_xludf.IFS(M$15="Teste de Esteira Progressiva",1,M$15="Teste Bicicleta ergométrica Balke",2)))</f>
        <v>#NAME?</v>
      </c>
      <c r="N11" s="90">
        <v>18</v>
      </c>
      <c r="O11" s="97" t="e">
        <f ca="1">IF(O17="","",OFFSET($B$17,_xludf.MAXIFS($A$17:$A$34,O$17:O$34,"&gt;0")-(O38="Estágio Interrompido"),_xludf.IFS(O$15="Teste de Esteira Progressiva",1,O$15="Teste Bicicleta ergométrica Balke",2)))</f>
        <v>#NAME?</v>
      </c>
      <c r="P11" s="90"/>
      <c r="Q11" s="97" t="e">
        <f ca="1">IF(Q17="","",OFFSET($B$17,_xludf.MAXIFS($A$17:$A$34,Q$17:Q$34,"&gt;0")-(Q38="Estágio Interrompido"),_xludf.IFS(Q$15="Teste de Esteira Progressiva",1,Q$15="Teste Bicicleta ergométrica Balke",2)))</f>
        <v>#NAME?</v>
      </c>
      <c r="R11" s="90">
        <v>19</v>
      </c>
      <c r="S11" s="97" t="str">
        <f ca="1">IF(S17="","",OFFSET($B$17,_xludf.MAXIFS($A$17:$A$34,S$17:S$34,"&gt;0")-(S38="Estágio Interrompido"),_xludf.IFS(S$15="Teste de Esteira Progressiva",1,S$15="Teste Bicicleta ergométrica Balke",2)))</f>
        <v/>
      </c>
      <c r="T11" s="90"/>
      <c r="U11" s="97" t="str">
        <f ca="1">IF(U17="","",OFFSET($B$17,_xludf.MAXIFS($A$17:$A$34,U$17:U$34,"&gt;0")-(U38="Estágio Interrompido"),_xludf.IFS(U$15="Teste de Esteira Progressiva",1,U$15="Teste Bicicleta ergométrica Balke",2)))</f>
        <v/>
      </c>
      <c r="V11" s="90"/>
      <c r="W11" s="97" t="str">
        <f ca="1">IF(W17="","",OFFSET($B$17,_xludf.MAXIFS($A$17:$A$34,W$17:W$34,"&gt;0")-(W38="Estágio Interrompido"),_xludf.IFS(W$15="Teste de Esteira Progressiva",1,W$15="Teste Bicicleta ergométrica Balke",2)))</f>
        <v/>
      </c>
      <c r="X11" s="90"/>
      <c r="Y11" s="97" t="str">
        <f ca="1">IF(Y17="","",OFFSET($B$17,_xludf.MAXIFS($A$17:$A$34,Y$17:Y$34,"&gt;0")-(Y38="Estágio Interrompido"),_xludf.IFS(Y$15="Teste de Esteira Progressiva",1,Y$15="Teste Bicicleta ergométrica Balke",2)))</f>
        <v/>
      </c>
      <c r="Z11" s="90"/>
      <c r="AA11" s="97" t="str">
        <f ca="1">IF(AA17="","",OFFSET($B$17,_xludf.MAXIFS($A$17:$A$34,AA$17:AA$34,"&gt;0")-(AA38="Estágio Interrompido"),_xludf.IFS(AA$15="Teste de Esteira Progressiva",1,AA$15="Teste Bicicleta ergométrica Balke",2)))</f>
        <v/>
      </c>
      <c r="AB11" s="90"/>
      <c r="AC11" s="97" t="str">
        <f ca="1">IF(AC17="","",OFFSET($B$17,_xludf.MAXIFS($A$17:$A$34,AC$17:AC$34,"&gt;0")-(AC38="Estágio Interrompido"),_xludf.IFS(AC$15="Teste de Esteira Progressiva",1,AC$15="Teste Bicicleta ergométrica Balke",2)))</f>
        <v/>
      </c>
      <c r="AD11" s="90"/>
      <c r="AE11" s="97" t="str">
        <f ca="1">IF(AE17="","",OFFSET($B$17,_xludf.MAXIFS($A$17:$A$34,AE$17:AE$34,"&gt;0")-(AE38="Estágio Interrompido"),_xludf.IFS(AE$15="Teste de Esteira Progressiva",1,AE$15="Teste Bicicleta ergométrica Balke",2)))</f>
        <v/>
      </c>
      <c r="AF11" s="90"/>
      <c r="AG11" s="97" t="str">
        <f ca="1">IF(AG17="","",OFFSET($B$17,_xludf.MAXIFS($A$17:$A$34,AG$17:AG$34,"&gt;0")-(AG38="Estágio Interrompido"),_xludf.IFS(AG$15="Teste de Esteira Progressiva",1,AG$15="Teste Bicicleta ergométrica Balke",2)))</f>
        <v/>
      </c>
      <c r="AH11" s="90"/>
    </row>
    <row r="12" spans="1:34" ht="12.75">
      <c r="A12" s="382" t="s">
        <v>303</v>
      </c>
      <c r="B12" s="294"/>
      <c r="C12" s="294"/>
      <c r="D12" s="378"/>
      <c r="E12" s="97">
        <f>E17</f>
        <v>45</v>
      </c>
      <c r="F12" s="90"/>
      <c r="G12" s="97">
        <f>G17</f>
        <v>60</v>
      </c>
      <c r="H12" s="90"/>
      <c r="I12" s="97">
        <f>I17</f>
        <v>60</v>
      </c>
      <c r="J12" s="90"/>
      <c r="K12" s="97">
        <f>K17</f>
        <v>64</v>
      </c>
      <c r="L12" s="90">
        <v>64</v>
      </c>
      <c r="M12" s="97">
        <f>M17</f>
        <v>54</v>
      </c>
      <c r="N12" s="90">
        <v>54</v>
      </c>
      <c r="O12" s="97">
        <f>O17</f>
        <v>48</v>
      </c>
      <c r="P12" s="90"/>
      <c r="Q12" s="97">
        <f>Q17</f>
        <v>51</v>
      </c>
      <c r="R12" s="90">
        <v>48</v>
      </c>
      <c r="S12" s="97">
        <f>S17</f>
        <v>0</v>
      </c>
      <c r="T12" s="90"/>
      <c r="U12" s="97">
        <f>U17</f>
        <v>0</v>
      </c>
      <c r="V12" s="90"/>
      <c r="W12" s="97">
        <f>W17</f>
        <v>0</v>
      </c>
      <c r="X12" s="90"/>
      <c r="Y12" s="97">
        <f>Y17</f>
        <v>0</v>
      </c>
      <c r="Z12" s="90"/>
      <c r="AA12" s="97">
        <f>AA17</f>
        <v>0</v>
      </c>
      <c r="AB12" s="90"/>
      <c r="AC12" s="97">
        <f>AC17</f>
        <v>0</v>
      </c>
      <c r="AD12" s="90"/>
      <c r="AE12" s="97">
        <f>AE17</f>
        <v>0</v>
      </c>
      <c r="AF12" s="90"/>
      <c r="AG12" s="97">
        <f>AG17</f>
        <v>0</v>
      </c>
      <c r="AH12" s="90"/>
    </row>
    <row r="13" spans="1:34" ht="12.75">
      <c r="A13" s="382" t="s">
        <v>304</v>
      </c>
      <c r="B13" s="294"/>
      <c r="C13" s="294"/>
      <c r="D13" s="378"/>
      <c r="E13" s="94">
        <f ca="1">IF(E$1="","",OFFSET(Avaliação!$C$147,,MATCH(E$1,Avaliação!$D$2:$AF$2,0)))</f>
        <v>171.55</v>
      </c>
      <c r="F13" s="90"/>
      <c r="G13" s="94">
        <f ca="1">IF(G$1="","",OFFSET(Avaliação!$C$147,,MATCH(G$1,Avaliação!$D$2:$AF$2,0)))</f>
        <v>170.86500000000001</v>
      </c>
      <c r="H13" s="90"/>
      <c r="I13" s="94">
        <f ca="1">IF(I$1="","",OFFSET(Avaliação!$C$147,,MATCH(I$1,Avaliação!$D$2:$AF$2,0)))</f>
        <v>170.86500000000001</v>
      </c>
      <c r="J13" s="90"/>
      <c r="K13" s="94">
        <f ca="1">IF(K$1="","",OFFSET(Avaliação!$C$147,,MATCH(K$1,Avaliação!$D$2:$AF$2,0)))</f>
        <v>170.18</v>
      </c>
      <c r="L13" s="90">
        <v>170</v>
      </c>
      <c r="M13" s="94">
        <f ca="1">IF(M$1="","",OFFSET(Avaliação!$C$147,,MATCH(M$1,Avaliação!$D$2:$AF$2,0)))</f>
        <v>170.18</v>
      </c>
      <c r="N13" s="90">
        <v>170</v>
      </c>
      <c r="O13" s="94">
        <f ca="1">IF(O$1="","",OFFSET(Avaliação!$C$147,,MATCH(O$1,Avaliação!$D$2:$AF$2,0)))</f>
        <v>169.495</v>
      </c>
      <c r="P13" s="90"/>
      <c r="Q13" s="94">
        <f ca="1">IF(Q$1="","",OFFSET(Avaliação!$C$147,,MATCH(Q$1,Avaliação!$D$2:$AF$2,0)))</f>
        <v>169.495</v>
      </c>
      <c r="R13" s="90">
        <v>170</v>
      </c>
      <c r="S13" s="94" t="str">
        <f ca="1">IF(S$1="","",OFFSET(Avaliação!$C$147,,MATCH(S$1,Avaliação!$D$2:$AF$2,0)))</f>
        <v/>
      </c>
      <c r="T13" s="90"/>
      <c r="U13" s="94" t="str">
        <f ca="1">IF(U$1="","",OFFSET(Avaliação!$C$147,,MATCH(U$1,Avaliação!$D$2:$AF$2,0)))</f>
        <v/>
      </c>
      <c r="V13" s="90"/>
      <c r="W13" s="94" t="str">
        <f ca="1">IF(W$1="","",OFFSET(Avaliação!$C$147,,MATCH(W$1,Avaliação!$D$2:$AF$2,0)))</f>
        <v/>
      </c>
      <c r="X13" s="90"/>
      <c r="Y13" s="94" t="str">
        <f ca="1">IF(Y$1="","",OFFSET(Avaliação!$C$147,,MATCH(Y$1,Avaliação!$D$2:$AF$2,0)))</f>
        <v/>
      </c>
      <c r="Z13" s="90"/>
      <c r="AA13" s="94" t="str">
        <f ca="1">IF(AA$1="","",OFFSET(Avaliação!$C$147,,MATCH(AA$1,Avaliação!$D$2:$AF$2,0)))</f>
        <v/>
      </c>
      <c r="AB13" s="90"/>
      <c r="AC13" s="94" t="str">
        <f ca="1">IF(AC$1="","",OFFSET(Avaliação!$C$147,,MATCH(AC$1,Avaliação!$D$2:$AF$2,0)))</f>
        <v/>
      </c>
      <c r="AD13" s="90"/>
      <c r="AE13" s="94" t="str">
        <f ca="1">IF(AE$1="","",OFFSET(Avaliação!$C$147,,MATCH(AE$1,Avaliação!$D$2:$AF$2,0)))</f>
        <v/>
      </c>
      <c r="AF13" s="90"/>
      <c r="AG13" s="94" t="str">
        <f ca="1">IF(AG$1="","",OFFSET(Avaliação!$C$147,,MATCH(AG$1,Avaliação!$D$2:$AF$2,0)))</f>
        <v/>
      </c>
      <c r="AH13" s="90"/>
    </row>
    <row r="14" spans="1:34" ht="12.75">
      <c r="A14" s="382" t="s">
        <v>305</v>
      </c>
      <c r="B14" s="294"/>
      <c r="C14" s="294"/>
      <c r="D14" s="378"/>
      <c r="E14" s="98">
        <f>IF(E17="","",MAX(E17:E37))</f>
        <v>155</v>
      </c>
      <c r="F14" s="90"/>
      <c r="G14" s="98">
        <f>IF(G17="","",MAX(G17:G37))</f>
        <v>164</v>
      </c>
      <c r="H14" s="90"/>
      <c r="I14" s="98">
        <f>IF(I17="","",MAX(I17:I37))</f>
        <v>158</v>
      </c>
      <c r="J14" s="90"/>
      <c r="K14" s="98">
        <f>IF(K17="","",MAX(K17:K37))</f>
        <v>162</v>
      </c>
      <c r="L14" s="90">
        <v>162</v>
      </c>
      <c r="M14" s="98">
        <f>IF(M17="","",MAX(M17:M37))</f>
        <v>162</v>
      </c>
      <c r="N14" s="90">
        <v>162</v>
      </c>
      <c r="O14" s="98">
        <f>IF(O17="","",MAX(O17:O37))</f>
        <v>151</v>
      </c>
      <c r="P14" s="90"/>
      <c r="Q14" s="98">
        <f>IF(Q17="","",MAX(Q17:Q37))</f>
        <v>152</v>
      </c>
      <c r="R14" s="90">
        <v>150</v>
      </c>
      <c r="S14" s="98" t="str">
        <f>IF(S17="","",MAX(S17:S37))</f>
        <v/>
      </c>
      <c r="T14" s="90"/>
      <c r="U14" s="98" t="str">
        <f>IF(U17="","",MAX(U17:U37))</f>
        <v/>
      </c>
      <c r="V14" s="90"/>
      <c r="W14" s="98" t="str">
        <f>IF(W17="","",MAX(W17:W37))</f>
        <v/>
      </c>
      <c r="X14" s="90"/>
      <c r="Y14" s="98" t="str">
        <f>IF(Y17="","",MAX(Y17:Y37))</f>
        <v/>
      </c>
      <c r="Z14" s="90"/>
      <c r="AA14" s="98" t="str">
        <f>IF(AA17="","",MAX(AA17:AA37))</f>
        <v/>
      </c>
      <c r="AB14" s="90"/>
      <c r="AC14" s="98" t="str">
        <f>IF(AC17="","",MAX(AC17:AC37))</f>
        <v/>
      </c>
      <c r="AD14" s="90"/>
      <c r="AE14" s="98" t="str">
        <f>IF(AE17="","",MAX(AE17:AE37))</f>
        <v/>
      </c>
      <c r="AF14" s="90"/>
      <c r="AG14" s="98" t="str">
        <f>IF(AG17="","",MAX(AG17:AG37))</f>
        <v/>
      </c>
      <c r="AH14" s="90"/>
    </row>
    <row r="15" spans="1:34" ht="12.75">
      <c r="A15" s="388"/>
      <c r="B15" s="319"/>
      <c r="C15" s="319"/>
      <c r="D15" s="387"/>
      <c r="E15" s="364" t="s">
        <v>306</v>
      </c>
      <c r="F15" s="387"/>
      <c r="G15" s="364" t="s">
        <v>306</v>
      </c>
      <c r="H15" s="387"/>
      <c r="I15" s="364" t="s">
        <v>306</v>
      </c>
      <c r="J15" s="387"/>
      <c r="K15" s="364" t="s">
        <v>306</v>
      </c>
      <c r="L15" s="387"/>
      <c r="M15" s="364" t="s">
        <v>306</v>
      </c>
      <c r="N15" s="387"/>
      <c r="O15" s="364" t="s">
        <v>306</v>
      </c>
      <c r="P15" s="387"/>
      <c r="Q15" s="364" t="s">
        <v>306</v>
      </c>
      <c r="R15" s="387"/>
      <c r="S15" s="364"/>
      <c r="T15" s="387"/>
      <c r="U15" s="364"/>
      <c r="V15" s="387"/>
      <c r="W15" s="364"/>
      <c r="X15" s="387"/>
      <c r="Y15" s="364"/>
      <c r="Z15" s="387"/>
      <c r="AA15" s="364"/>
      <c r="AB15" s="387"/>
      <c r="AC15" s="364"/>
      <c r="AD15" s="387"/>
      <c r="AE15" s="364"/>
      <c r="AF15" s="387"/>
      <c r="AG15" s="364"/>
      <c r="AH15" s="387"/>
    </row>
    <row r="16" spans="1:34" ht="12.75">
      <c r="A16" s="43" t="s">
        <v>307</v>
      </c>
      <c r="B16" s="43" t="s">
        <v>308</v>
      </c>
      <c r="C16" s="43" t="s">
        <v>309</v>
      </c>
      <c r="D16" s="99" t="s">
        <v>310</v>
      </c>
      <c r="E16" s="43" t="s">
        <v>311</v>
      </c>
      <c r="F16" s="99" t="s">
        <v>312</v>
      </c>
      <c r="G16" s="43" t="s">
        <v>311</v>
      </c>
      <c r="H16" s="99" t="s">
        <v>312</v>
      </c>
      <c r="I16" s="43" t="s">
        <v>311</v>
      </c>
      <c r="J16" s="99" t="s">
        <v>312</v>
      </c>
      <c r="K16" s="43" t="s">
        <v>311</v>
      </c>
      <c r="L16" s="99" t="s">
        <v>312</v>
      </c>
      <c r="M16" s="43" t="s">
        <v>311</v>
      </c>
      <c r="N16" s="99" t="s">
        <v>312</v>
      </c>
      <c r="O16" s="43" t="s">
        <v>311</v>
      </c>
      <c r="P16" s="99" t="s">
        <v>312</v>
      </c>
      <c r="Q16" s="43" t="s">
        <v>311</v>
      </c>
      <c r="R16" s="99" t="s">
        <v>312</v>
      </c>
      <c r="S16" s="43" t="s">
        <v>311</v>
      </c>
      <c r="T16" s="99" t="s">
        <v>312</v>
      </c>
      <c r="U16" s="43" t="s">
        <v>311</v>
      </c>
      <c r="V16" s="99" t="s">
        <v>312</v>
      </c>
      <c r="W16" s="43" t="s">
        <v>311</v>
      </c>
      <c r="X16" s="99" t="s">
        <v>312</v>
      </c>
      <c r="Y16" s="43" t="s">
        <v>311</v>
      </c>
      <c r="Z16" s="99" t="s">
        <v>312</v>
      </c>
      <c r="AA16" s="43" t="s">
        <v>311</v>
      </c>
      <c r="AB16" s="99" t="s">
        <v>312</v>
      </c>
      <c r="AC16" s="43" t="s">
        <v>311</v>
      </c>
      <c r="AD16" s="99" t="s">
        <v>312</v>
      </c>
      <c r="AE16" s="43" t="s">
        <v>311</v>
      </c>
      <c r="AF16" s="99" t="s">
        <v>312</v>
      </c>
      <c r="AG16" s="43" t="s">
        <v>311</v>
      </c>
      <c r="AH16" s="99" t="s">
        <v>312</v>
      </c>
    </row>
    <row r="17" spans="1:34" ht="12.75">
      <c r="A17" s="76">
        <v>0</v>
      </c>
      <c r="B17" s="76">
        <v>0</v>
      </c>
      <c r="C17" s="76">
        <v>0</v>
      </c>
      <c r="D17" s="100">
        <v>0</v>
      </c>
      <c r="E17" s="101">
        <v>45</v>
      </c>
      <c r="F17" s="90"/>
      <c r="G17" s="101">
        <v>60</v>
      </c>
      <c r="H17" s="90"/>
      <c r="I17" s="89">
        <v>60</v>
      </c>
      <c r="J17" s="90"/>
      <c r="K17" s="89">
        <v>64</v>
      </c>
      <c r="L17" s="90"/>
      <c r="M17" s="89">
        <v>54</v>
      </c>
      <c r="N17" s="90"/>
      <c r="O17" s="89">
        <v>48</v>
      </c>
      <c r="P17" s="90">
        <v>0</v>
      </c>
      <c r="Q17" s="89">
        <v>51</v>
      </c>
      <c r="R17" s="90">
        <v>0</v>
      </c>
      <c r="S17" s="89"/>
      <c r="T17" s="90"/>
      <c r="U17" s="89"/>
      <c r="V17" s="90"/>
      <c r="W17" s="89"/>
      <c r="X17" s="90"/>
      <c r="Y17" s="89"/>
      <c r="Z17" s="90"/>
      <c r="AA17" s="89"/>
      <c r="AB17" s="90"/>
      <c r="AC17" s="89"/>
      <c r="AD17" s="90"/>
      <c r="AE17" s="89"/>
      <c r="AF17" s="90"/>
      <c r="AG17" s="89"/>
      <c r="AH17" s="90"/>
    </row>
    <row r="18" spans="1:34" ht="12.75">
      <c r="A18" s="76">
        <v>1</v>
      </c>
      <c r="B18" s="76">
        <v>1</v>
      </c>
      <c r="C18" s="76">
        <v>5</v>
      </c>
      <c r="D18" s="100">
        <f>IF(Avaliação!$K$1="Feminino",25,50)</f>
        <v>50</v>
      </c>
      <c r="E18" s="101"/>
      <c r="F18" s="90"/>
      <c r="G18" s="101"/>
      <c r="H18" s="90"/>
      <c r="I18" s="89"/>
      <c r="J18" s="90"/>
      <c r="K18" s="89"/>
      <c r="L18" s="90"/>
      <c r="M18" s="89"/>
      <c r="N18" s="90"/>
      <c r="O18" s="89"/>
      <c r="P18" s="90"/>
      <c r="Q18" s="89"/>
      <c r="R18" s="90"/>
      <c r="S18" s="89"/>
      <c r="T18" s="90"/>
      <c r="U18" s="89"/>
      <c r="V18" s="90"/>
      <c r="W18" s="89"/>
      <c r="X18" s="90"/>
      <c r="Y18" s="89"/>
      <c r="Z18" s="90"/>
      <c r="AA18" s="89"/>
      <c r="AB18" s="90"/>
      <c r="AC18" s="89"/>
      <c r="AD18" s="90"/>
      <c r="AE18" s="89"/>
      <c r="AF18" s="90"/>
      <c r="AG18" s="89"/>
      <c r="AH18" s="90"/>
    </row>
    <row r="19" spans="1:34" ht="12.75">
      <c r="A19" s="76">
        <v>2</v>
      </c>
      <c r="B19" s="76">
        <v>1</v>
      </c>
      <c r="C19" s="76">
        <f t="shared" ref="C19:C34" si="0">C18+1</f>
        <v>6</v>
      </c>
      <c r="D19" s="100">
        <f t="shared" ref="D19:D34" si="1">D18+25</f>
        <v>75</v>
      </c>
      <c r="E19" s="101"/>
      <c r="F19" s="90"/>
      <c r="G19" s="101"/>
      <c r="H19" s="90"/>
      <c r="I19" s="89"/>
      <c r="J19" s="90"/>
      <c r="K19" s="89"/>
      <c r="L19" s="90"/>
      <c r="M19" s="89"/>
      <c r="N19" s="90"/>
      <c r="O19" s="89"/>
      <c r="P19" s="90"/>
      <c r="Q19" s="89"/>
      <c r="R19" s="90"/>
      <c r="S19" s="89"/>
      <c r="T19" s="90"/>
      <c r="U19" s="89"/>
      <c r="V19" s="90"/>
      <c r="W19" s="89"/>
      <c r="X19" s="90"/>
      <c r="Y19" s="89"/>
      <c r="Z19" s="90"/>
      <c r="AA19" s="89"/>
      <c r="AB19" s="90"/>
      <c r="AC19" s="89"/>
      <c r="AD19" s="90"/>
      <c r="AE19" s="89"/>
      <c r="AF19" s="90"/>
      <c r="AG19" s="89"/>
      <c r="AH19" s="90"/>
    </row>
    <row r="20" spans="1:34" ht="12.75">
      <c r="A20" s="76">
        <v>3</v>
      </c>
      <c r="B20" s="76">
        <v>1</v>
      </c>
      <c r="C20" s="76">
        <f t="shared" si="0"/>
        <v>7</v>
      </c>
      <c r="D20" s="100">
        <f t="shared" si="1"/>
        <v>100</v>
      </c>
      <c r="E20" s="101"/>
      <c r="F20" s="90"/>
      <c r="G20" s="101"/>
      <c r="H20" s="90"/>
      <c r="I20" s="89"/>
      <c r="J20" s="90"/>
      <c r="K20" s="89"/>
      <c r="L20" s="90"/>
      <c r="M20" s="89"/>
      <c r="N20" s="90"/>
      <c r="O20" s="89"/>
      <c r="P20" s="90"/>
      <c r="Q20" s="89"/>
      <c r="R20" s="90"/>
      <c r="S20" s="89"/>
      <c r="T20" s="90"/>
      <c r="U20" s="89"/>
      <c r="V20" s="90"/>
      <c r="W20" s="89"/>
      <c r="X20" s="90"/>
      <c r="Y20" s="89"/>
      <c r="Z20" s="90"/>
      <c r="AA20" s="89"/>
      <c r="AB20" s="90"/>
      <c r="AC20" s="89"/>
      <c r="AD20" s="90"/>
      <c r="AE20" s="89"/>
      <c r="AF20" s="90"/>
      <c r="AG20" s="89"/>
      <c r="AH20" s="90"/>
    </row>
    <row r="21" spans="1:34" ht="12.75">
      <c r="A21" s="76">
        <v>4</v>
      </c>
      <c r="B21" s="76">
        <v>1</v>
      </c>
      <c r="C21" s="76">
        <f t="shared" si="0"/>
        <v>8</v>
      </c>
      <c r="D21" s="100">
        <f t="shared" si="1"/>
        <v>125</v>
      </c>
      <c r="E21" s="101"/>
      <c r="F21" s="90"/>
      <c r="G21" s="101"/>
      <c r="H21" s="90"/>
      <c r="I21" s="89"/>
      <c r="J21" s="90"/>
      <c r="K21" s="89"/>
      <c r="L21" s="90"/>
      <c r="M21" s="89"/>
      <c r="N21" s="90"/>
      <c r="O21" s="89"/>
      <c r="P21" s="90"/>
      <c r="Q21" s="89"/>
      <c r="R21" s="90"/>
      <c r="S21" s="89"/>
      <c r="T21" s="90"/>
      <c r="U21" s="89"/>
      <c r="V21" s="90"/>
      <c r="W21" s="89"/>
      <c r="X21" s="90"/>
      <c r="Y21" s="89"/>
      <c r="Z21" s="90"/>
      <c r="AA21" s="89"/>
      <c r="AB21" s="90"/>
      <c r="AC21" s="89"/>
      <c r="AD21" s="90"/>
      <c r="AE21" s="89"/>
      <c r="AF21" s="90"/>
      <c r="AG21" s="89"/>
      <c r="AH21" s="90"/>
    </row>
    <row r="22" spans="1:34" ht="12.75">
      <c r="A22" s="76">
        <v>5</v>
      </c>
      <c r="B22" s="76">
        <v>1</v>
      </c>
      <c r="C22" s="76">
        <f t="shared" si="0"/>
        <v>9</v>
      </c>
      <c r="D22" s="100">
        <f t="shared" si="1"/>
        <v>150</v>
      </c>
      <c r="E22" s="101"/>
      <c r="F22" s="90"/>
      <c r="G22" s="101">
        <v>107</v>
      </c>
      <c r="H22" s="90">
        <v>0</v>
      </c>
      <c r="I22" s="89">
        <v>105</v>
      </c>
      <c r="J22" s="90">
        <v>0</v>
      </c>
      <c r="K22" s="89">
        <v>111</v>
      </c>
      <c r="L22" s="90">
        <v>0</v>
      </c>
      <c r="M22" s="89"/>
      <c r="N22" s="90"/>
      <c r="O22" s="89"/>
      <c r="P22" s="90"/>
      <c r="Q22" s="89"/>
      <c r="R22" s="90"/>
      <c r="S22" s="89"/>
      <c r="T22" s="90"/>
      <c r="U22" s="89"/>
      <c r="V22" s="90"/>
      <c r="W22" s="89"/>
      <c r="X22" s="90"/>
      <c r="Y22" s="89"/>
      <c r="Z22" s="90"/>
      <c r="AA22" s="89"/>
      <c r="AB22" s="90"/>
      <c r="AC22" s="89"/>
      <c r="AD22" s="90"/>
      <c r="AE22" s="89"/>
      <c r="AF22" s="90"/>
      <c r="AG22" s="89"/>
      <c r="AH22" s="90"/>
    </row>
    <row r="23" spans="1:34" ht="12.75">
      <c r="A23" s="76">
        <v>6</v>
      </c>
      <c r="B23" s="76">
        <v>1</v>
      </c>
      <c r="C23" s="76">
        <f t="shared" si="0"/>
        <v>10</v>
      </c>
      <c r="D23" s="100">
        <f t="shared" si="1"/>
        <v>175</v>
      </c>
      <c r="E23" s="89">
        <v>115</v>
      </c>
      <c r="F23" s="90"/>
      <c r="G23" s="89">
        <v>127</v>
      </c>
      <c r="H23" s="90">
        <v>0</v>
      </c>
      <c r="I23" s="89">
        <v>112</v>
      </c>
      <c r="J23" s="90">
        <v>0</v>
      </c>
      <c r="K23" s="89">
        <v>121</v>
      </c>
      <c r="L23" s="90">
        <v>1</v>
      </c>
      <c r="M23" s="89">
        <v>110</v>
      </c>
      <c r="N23" s="90">
        <v>0</v>
      </c>
      <c r="O23" s="89">
        <v>103</v>
      </c>
      <c r="P23" s="90">
        <v>0</v>
      </c>
      <c r="Q23" s="89">
        <v>100</v>
      </c>
      <c r="R23" s="90">
        <v>0</v>
      </c>
      <c r="S23" s="89"/>
      <c r="T23" s="90"/>
      <c r="U23" s="89"/>
      <c r="V23" s="90"/>
      <c r="W23" s="89"/>
      <c r="X23" s="90"/>
      <c r="Y23" s="89"/>
      <c r="Z23" s="90"/>
      <c r="AA23" s="89"/>
      <c r="AB23" s="90"/>
      <c r="AC23" s="89"/>
      <c r="AD23" s="90"/>
      <c r="AE23" s="89"/>
      <c r="AF23" s="90"/>
      <c r="AG23" s="89"/>
      <c r="AH23" s="90"/>
    </row>
    <row r="24" spans="1:34" ht="12.75">
      <c r="A24" s="76">
        <v>7</v>
      </c>
      <c r="B24" s="76">
        <v>1</v>
      </c>
      <c r="C24" s="76">
        <f t="shared" si="0"/>
        <v>11</v>
      </c>
      <c r="D24" s="100">
        <f t="shared" si="1"/>
        <v>200</v>
      </c>
      <c r="E24" s="89">
        <v>123</v>
      </c>
      <c r="F24" s="90"/>
      <c r="G24" s="89">
        <v>133</v>
      </c>
      <c r="H24" s="90">
        <v>1</v>
      </c>
      <c r="I24" s="89">
        <v>119</v>
      </c>
      <c r="J24" s="90">
        <v>1</v>
      </c>
      <c r="K24" s="89">
        <v>127</v>
      </c>
      <c r="L24" s="90">
        <v>2</v>
      </c>
      <c r="M24" s="89">
        <v>127</v>
      </c>
      <c r="N24" s="90">
        <v>1</v>
      </c>
      <c r="O24" s="89">
        <v>117</v>
      </c>
      <c r="P24" s="90">
        <v>0</v>
      </c>
      <c r="Q24" s="89">
        <v>115</v>
      </c>
      <c r="R24" s="90">
        <v>0</v>
      </c>
      <c r="S24" s="89"/>
      <c r="T24" s="90"/>
      <c r="U24" s="89"/>
      <c r="V24" s="90"/>
      <c r="W24" s="89"/>
      <c r="X24" s="90"/>
      <c r="Y24" s="89"/>
      <c r="Z24" s="90"/>
      <c r="AA24" s="89"/>
      <c r="AB24" s="90"/>
      <c r="AC24" s="89"/>
      <c r="AD24" s="90"/>
      <c r="AE24" s="89"/>
      <c r="AF24" s="90"/>
      <c r="AG24" s="89"/>
      <c r="AH24" s="90"/>
    </row>
    <row r="25" spans="1:34" ht="12.75">
      <c r="A25" s="76">
        <v>8</v>
      </c>
      <c r="B25" s="76">
        <v>1</v>
      </c>
      <c r="C25" s="76">
        <f t="shared" si="0"/>
        <v>12</v>
      </c>
      <c r="D25" s="100">
        <f t="shared" si="1"/>
        <v>225</v>
      </c>
      <c r="E25" s="89">
        <v>129</v>
      </c>
      <c r="F25" s="90"/>
      <c r="G25" s="89">
        <v>139</v>
      </c>
      <c r="H25" s="90">
        <v>2</v>
      </c>
      <c r="I25" s="89">
        <v>129</v>
      </c>
      <c r="J25" s="90">
        <v>2</v>
      </c>
      <c r="K25" s="89">
        <v>136</v>
      </c>
      <c r="L25" s="90">
        <v>2</v>
      </c>
      <c r="M25" s="89">
        <v>133</v>
      </c>
      <c r="N25" s="90">
        <v>2</v>
      </c>
      <c r="O25" s="89">
        <v>123</v>
      </c>
      <c r="P25" s="90">
        <v>0</v>
      </c>
      <c r="Q25" s="89">
        <v>123</v>
      </c>
      <c r="R25" s="90">
        <v>0</v>
      </c>
      <c r="S25" s="89"/>
      <c r="T25" s="90"/>
      <c r="U25" s="89"/>
      <c r="V25" s="90"/>
      <c r="W25" s="89"/>
      <c r="X25" s="90"/>
      <c r="Y25" s="89"/>
      <c r="Z25" s="90"/>
      <c r="AA25" s="89"/>
      <c r="AB25" s="90"/>
      <c r="AC25" s="89"/>
      <c r="AD25" s="90"/>
      <c r="AE25" s="89"/>
      <c r="AF25" s="90"/>
      <c r="AG25" s="89"/>
      <c r="AH25" s="90"/>
    </row>
    <row r="26" spans="1:34" ht="12.75">
      <c r="A26" s="76">
        <v>9</v>
      </c>
      <c r="B26" s="76">
        <v>1</v>
      </c>
      <c r="C26" s="76">
        <f t="shared" si="0"/>
        <v>13</v>
      </c>
      <c r="D26" s="100">
        <f t="shared" si="1"/>
        <v>250</v>
      </c>
      <c r="E26" s="89">
        <v>139</v>
      </c>
      <c r="F26" s="90"/>
      <c r="G26" s="89">
        <v>142</v>
      </c>
      <c r="H26" s="90">
        <v>3</v>
      </c>
      <c r="I26" s="89">
        <v>134</v>
      </c>
      <c r="J26" s="90">
        <v>5</v>
      </c>
      <c r="K26" s="89">
        <v>141</v>
      </c>
      <c r="L26" s="90">
        <v>3</v>
      </c>
      <c r="M26" s="89">
        <v>138</v>
      </c>
      <c r="N26" s="90">
        <v>2</v>
      </c>
      <c r="O26" s="89">
        <v>130</v>
      </c>
      <c r="P26" s="90">
        <v>1</v>
      </c>
      <c r="Q26" s="89">
        <v>128</v>
      </c>
      <c r="R26" s="90">
        <v>1</v>
      </c>
      <c r="S26" s="89"/>
      <c r="T26" s="90"/>
      <c r="U26" s="89"/>
      <c r="V26" s="90"/>
      <c r="W26" s="89"/>
      <c r="X26" s="90"/>
      <c r="Y26" s="89"/>
      <c r="Z26" s="90"/>
      <c r="AA26" s="89"/>
      <c r="AB26" s="90"/>
      <c r="AC26" s="89"/>
      <c r="AD26" s="90"/>
      <c r="AE26" s="89"/>
      <c r="AF26" s="90"/>
      <c r="AG26" s="89"/>
      <c r="AH26" s="90"/>
    </row>
    <row r="27" spans="1:34" ht="12.75">
      <c r="A27" s="76">
        <v>10</v>
      </c>
      <c r="B27" s="76">
        <v>1</v>
      </c>
      <c r="C27" s="76">
        <f t="shared" si="0"/>
        <v>14</v>
      </c>
      <c r="D27" s="100">
        <f t="shared" si="1"/>
        <v>275</v>
      </c>
      <c r="E27" s="89">
        <v>143</v>
      </c>
      <c r="F27" s="90"/>
      <c r="G27" s="89">
        <v>150</v>
      </c>
      <c r="H27" s="90">
        <v>4</v>
      </c>
      <c r="I27" s="89">
        <v>141</v>
      </c>
      <c r="J27" s="90">
        <v>5</v>
      </c>
      <c r="K27" s="89">
        <v>145</v>
      </c>
      <c r="L27" s="90">
        <v>4</v>
      </c>
      <c r="M27" s="89">
        <v>145</v>
      </c>
      <c r="N27" s="90">
        <v>3</v>
      </c>
      <c r="O27" s="89">
        <v>134</v>
      </c>
      <c r="P27" s="90">
        <v>2</v>
      </c>
      <c r="Q27" s="89">
        <v>132</v>
      </c>
      <c r="R27" s="90">
        <v>2</v>
      </c>
      <c r="S27" s="89"/>
      <c r="T27" s="90"/>
      <c r="U27" s="89"/>
      <c r="V27" s="90"/>
      <c r="W27" s="89"/>
      <c r="X27" s="90"/>
      <c r="Y27" s="89"/>
      <c r="Z27" s="90"/>
      <c r="AA27" s="89"/>
      <c r="AB27" s="90"/>
      <c r="AC27" s="89"/>
      <c r="AD27" s="90"/>
      <c r="AE27" s="89"/>
      <c r="AF27" s="90"/>
      <c r="AG27" s="89"/>
      <c r="AH27" s="90"/>
    </row>
    <row r="28" spans="1:34" ht="12.75">
      <c r="A28" s="76">
        <v>11</v>
      </c>
      <c r="B28" s="76">
        <v>1</v>
      </c>
      <c r="C28" s="76">
        <f t="shared" si="0"/>
        <v>15</v>
      </c>
      <c r="D28" s="100">
        <f t="shared" si="1"/>
        <v>300</v>
      </c>
      <c r="E28" s="89">
        <v>148</v>
      </c>
      <c r="F28" s="90"/>
      <c r="G28" s="89">
        <v>153</v>
      </c>
      <c r="H28" s="90">
        <v>6</v>
      </c>
      <c r="I28" s="89">
        <v>143</v>
      </c>
      <c r="J28" s="90">
        <v>6</v>
      </c>
      <c r="K28" s="89">
        <v>150</v>
      </c>
      <c r="L28" s="90">
        <v>5</v>
      </c>
      <c r="M28" s="89">
        <v>150</v>
      </c>
      <c r="N28" s="90">
        <v>4</v>
      </c>
      <c r="O28" s="89">
        <v>140</v>
      </c>
      <c r="P28" s="90">
        <v>3</v>
      </c>
      <c r="Q28" s="89">
        <v>140</v>
      </c>
      <c r="R28" s="90">
        <v>3</v>
      </c>
      <c r="S28" s="89"/>
      <c r="T28" s="90"/>
      <c r="U28" s="89"/>
      <c r="V28" s="90"/>
      <c r="W28" s="89"/>
      <c r="X28" s="90"/>
      <c r="Y28" s="89"/>
      <c r="Z28" s="90"/>
      <c r="AA28" s="89"/>
      <c r="AB28" s="90"/>
      <c r="AC28" s="89"/>
      <c r="AD28" s="90"/>
      <c r="AE28" s="89"/>
      <c r="AF28" s="90"/>
      <c r="AG28" s="89"/>
      <c r="AH28" s="90"/>
    </row>
    <row r="29" spans="1:34" ht="12.75">
      <c r="A29" s="76">
        <v>12</v>
      </c>
      <c r="B29" s="76">
        <v>1</v>
      </c>
      <c r="C29" s="76">
        <f t="shared" si="0"/>
        <v>16</v>
      </c>
      <c r="D29" s="100">
        <f t="shared" si="1"/>
        <v>325</v>
      </c>
      <c r="E29" s="89">
        <v>151</v>
      </c>
      <c r="F29" s="90"/>
      <c r="G29" s="89">
        <v>157</v>
      </c>
      <c r="H29" s="90">
        <v>8</v>
      </c>
      <c r="I29" s="89">
        <v>148</v>
      </c>
      <c r="J29" s="90">
        <v>7</v>
      </c>
      <c r="K29" s="89">
        <v>155</v>
      </c>
      <c r="L29" s="90">
        <v>6</v>
      </c>
      <c r="M29" s="89">
        <v>153</v>
      </c>
      <c r="N29" s="90">
        <v>6</v>
      </c>
      <c r="O29" s="89">
        <v>146</v>
      </c>
      <c r="P29" s="90">
        <v>4</v>
      </c>
      <c r="Q29" s="89">
        <v>144</v>
      </c>
      <c r="R29" s="90">
        <v>4</v>
      </c>
      <c r="S29" s="89"/>
      <c r="T29" s="90"/>
      <c r="U29" s="89"/>
      <c r="V29" s="90"/>
      <c r="W29" s="89"/>
      <c r="X29" s="90"/>
      <c r="Y29" s="89"/>
      <c r="Z29" s="90"/>
      <c r="AA29" s="89"/>
      <c r="AB29" s="90"/>
      <c r="AC29" s="89"/>
      <c r="AD29" s="90"/>
      <c r="AE29" s="89"/>
      <c r="AF29" s="90"/>
      <c r="AG29" s="89"/>
      <c r="AH29" s="90"/>
    </row>
    <row r="30" spans="1:34" ht="12.75">
      <c r="A30" s="76">
        <v>13</v>
      </c>
      <c r="B30" s="76">
        <v>1</v>
      </c>
      <c r="C30" s="76">
        <f t="shared" si="0"/>
        <v>17</v>
      </c>
      <c r="D30" s="100">
        <f t="shared" si="1"/>
        <v>350</v>
      </c>
      <c r="E30" s="89">
        <v>155</v>
      </c>
      <c r="F30" s="90"/>
      <c r="G30" s="89">
        <v>163</v>
      </c>
      <c r="H30" s="90">
        <v>10</v>
      </c>
      <c r="I30" s="89">
        <v>155</v>
      </c>
      <c r="J30" s="90">
        <v>9</v>
      </c>
      <c r="K30" s="89">
        <v>161</v>
      </c>
      <c r="L30" s="90">
        <v>8</v>
      </c>
      <c r="M30" s="89">
        <v>156</v>
      </c>
      <c r="N30" s="90">
        <v>8</v>
      </c>
      <c r="O30" s="89">
        <v>147</v>
      </c>
      <c r="P30" s="90">
        <v>6</v>
      </c>
      <c r="Q30" s="89">
        <v>146</v>
      </c>
      <c r="R30" s="90">
        <v>6</v>
      </c>
      <c r="S30" s="89"/>
      <c r="T30" s="90"/>
      <c r="U30" s="89"/>
      <c r="V30" s="90"/>
      <c r="W30" s="89"/>
      <c r="X30" s="90"/>
      <c r="Y30" s="89"/>
      <c r="Z30" s="90"/>
      <c r="AA30" s="89"/>
      <c r="AB30" s="90"/>
      <c r="AC30" s="89"/>
      <c r="AD30" s="90"/>
      <c r="AE30" s="89"/>
      <c r="AF30" s="90"/>
      <c r="AG30" s="89"/>
      <c r="AH30" s="90"/>
    </row>
    <row r="31" spans="1:34" ht="12.75">
      <c r="A31" s="76">
        <v>14</v>
      </c>
      <c r="B31" s="76">
        <v>1</v>
      </c>
      <c r="C31" s="76">
        <f t="shared" si="0"/>
        <v>18</v>
      </c>
      <c r="D31" s="100">
        <f t="shared" si="1"/>
        <v>375</v>
      </c>
      <c r="E31" s="89"/>
      <c r="F31" s="90"/>
      <c r="G31" s="89">
        <v>164</v>
      </c>
      <c r="H31" s="90"/>
      <c r="I31" s="89">
        <v>158</v>
      </c>
      <c r="J31" s="90">
        <v>10</v>
      </c>
      <c r="K31" s="89">
        <v>162</v>
      </c>
      <c r="L31" s="90">
        <v>10</v>
      </c>
      <c r="M31" s="89">
        <v>162</v>
      </c>
      <c r="N31" s="90">
        <v>10</v>
      </c>
      <c r="O31" s="89">
        <v>150</v>
      </c>
      <c r="P31" s="90">
        <v>8</v>
      </c>
      <c r="Q31" s="89">
        <v>150</v>
      </c>
      <c r="R31" s="90">
        <v>8</v>
      </c>
      <c r="S31" s="89"/>
      <c r="T31" s="90"/>
      <c r="U31" s="89"/>
      <c r="V31" s="90"/>
      <c r="W31" s="89"/>
      <c r="X31" s="90"/>
      <c r="Y31" s="89"/>
      <c r="Z31" s="90"/>
      <c r="AA31" s="89"/>
      <c r="AB31" s="90"/>
      <c r="AC31" s="89"/>
      <c r="AD31" s="90"/>
      <c r="AE31" s="89"/>
      <c r="AF31" s="90"/>
      <c r="AG31" s="89"/>
      <c r="AH31" s="90"/>
    </row>
    <row r="32" spans="1:34" ht="12.75">
      <c r="A32" s="76">
        <v>15</v>
      </c>
      <c r="B32" s="76">
        <v>1</v>
      </c>
      <c r="C32" s="76">
        <f t="shared" si="0"/>
        <v>19</v>
      </c>
      <c r="D32" s="100">
        <f t="shared" si="1"/>
        <v>400</v>
      </c>
      <c r="E32" s="89"/>
      <c r="F32" s="90"/>
      <c r="G32" s="89"/>
      <c r="H32" s="90"/>
      <c r="I32" s="89"/>
      <c r="J32" s="90"/>
      <c r="K32" s="89"/>
      <c r="L32" s="90"/>
      <c r="M32" s="89"/>
      <c r="N32" s="90"/>
      <c r="O32" s="89">
        <v>151</v>
      </c>
      <c r="P32" s="90"/>
      <c r="Q32" s="89">
        <v>152</v>
      </c>
      <c r="R32" s="90">
        <v>10</v>
      </c>
      <c r="S32" s="89"/>
      <c r="T32" s="90"/>
      <c r="U32" s="89"/>
      <c r="V32" s="90"/>
      <c r="W32" s="89"/>
      <c r="X32" s="90"/>
      <c r="Y32" s="89"/>
      <c r="Z32" s="90"/>
      <c r="AA32" s="89"/>
      <c r="AB32" s="90"/>
      <c r="AC32" s="89"/>
      <c r="AD32" s="90"/>
      <c r="AE32" s="89"/>
      <c r="AF32" s="90"/>
      <c r="AG32" s="89"/>
      <c r="AH32" s="90"/>
    </row>
    <row r="33" spans="1:34" ht="12.75">
      <c r="A33" s="76">
        <v>16</v>
      </c>
      <c r="B33" s="76">
        <v>1</v>
      </c>
      <c r="C33" s="76">
        <f t="shared" si="0"/>
        <v>20</v>
      </c>
      <c r="D33" s="100">
        <f t="shared" si="1"/>
        <v>425</v>
      </c>
      <c r="E33" s="89"/>
      <c r="F33" s="90"/>
      <c r="G33" s="89"/>
      <c r="H33" s="90"/>
      <c r="I33" s="89"/>
      <c r="J33" s="90"/>
      <c r="K33" s="89"/>
      <c r="L33" s="90"/>
      <c r="M33" s="89"/>
      <c r="N33" s="90"/>
      <c r="O33" s="89"/>
      <c r="P33" s="90"/>
      <c r="Q33" s="89"/>
      <c r="R33" s="90"/>
      <c r="S33" s="89"/>
      <c r="T33" s="90"/>
      <c r="U33" s="89"/>
      <c r="V33" s="90"/>
      <c r="W33" s="89"/>
      <c r="X33" s="90"/>
      <c r="Y33" s="89"/>
      <c r="Z33" s="90"/>
      <c r="AA33" s="89"/>
      <c r="AB33" s="90"/>
      <c r="AC33" s="89"/>
      <c r="AD33" s="90"/>
      <c r="AE33" s="89"/>
      <c r="AF33" s="90"/>
      <c r="AG33" s="89"/>
      <c r="AH33" s="90"/>
    </row>
    <row r="34" spans="1:34" ht="12.75">
      <c r="A34" s="76">
        <v>17</v>
      </c>
      <c r="B34" s="76">
        <v>1</v>
      </c>
      <c r="C34" s="76">
        <f t="shared" si="0"/>
        <v>21</v>
      </c>
      <c r="D34" s="100">
        <f t="shared" si="1"/>
        <v>450</v>
      </c>
      <c r="E34" s="89"/>
      <c r="F34" s="90"/>
      <c r="G34" s="89"/>
      <c r="H34" s="90"/>
      <c r="I34" s="89"/>
      <c r="J34" s="90"/>
      <c r="K34" s="89"/>
      <c r="L34" s="90"/>
      <c r="M34" s="89"/>
      <c r="N34" s="90"/>
      <c r="O34" s="89"/>
      <c r="P34" s="90"/>
      <c r="Q34" s="89"/>
      <c r="R34" s="90"/>
      <c r="S34" s="89"/>
      <c r="T34" s="90"/>
      <c r="U34" s="89"/>
      <c r="V34" s="90"/>
      <c r="W34" s="89"/>
      <c r="X34" s="90"/>
      <c r="Y34" s="89"/>
      <c r="Z34" s="90"/>
      <c r="AA34" s="89"/>
      <c r="AB34" s="90"/>
      <c r="AC34" s="89"/>
      <c r="AD34" s="90"/>
      <c r="AE34" s="89"/>
      <c r="AF34" s="90"/>
      <c r="AG34" s="89"/>
      <c r="AH34" s="90"/>
    </row>
    <row r="35" spans="1:34" ht="12.75">
      <c r="A35" s="76" t="s">
        <v>313</v>
      </c>
      <c r="B35" s="76">
        <v>1</v>
      </c>
      <c r="C35" s="76">
        <v>4.5</v>
      </c>
      <c r="D35" s="100">
        <f>D18</f>
        <v>50</v>
      </c>
      <c r="E35" s="89">
        <v>129</v>
      </c>
      <c r="F35" s="90"/>
      <c r="G35" s="89">
        <v>127</v>
      </c>
      <c r="H35" s="90"/>
      <c r="I35" s="89"/>
      <c r="J35" s="90"/>
      <c r="K35" s="89">
        <v>127</v>
      </c>
      <c r="L35" s="90"/>
      <c r="M35" s="89"/>
      <c r="N35" s="90"/>
      <c r="O35" s="89"/>
      <c r="P35" s="90"/>
      <c r="Q35" s="89"/>
      <c r="R35" s="90"/>
      <c r="S35" s="89"/>
      <c r="T35" s="90"/>
      <c r="U35" s="89"/>
      <c r="V35" s="90"/>
      <c r="W35" s="89"/>
      <c r="X35" s="90"/>
      <c r="Y35" s="89"/>
      <c r="Z35" s="90"/>
      <c r="AA35" s="89"/>
      <c r="AB35" s="90"/>
      <c r="AC35" s="89"/>
      <c r="AD35" s="90"/>
      <c r="AE35" s="89"/>
      <c r="AF35" s="90"/>
      <c r="AG35" s="89"/>
      <c r="AH35" s="90"/>
    </row>
    <row r="36" spans="1:34" ht="12.75">
      <c r="A36" s="76" t="s">
        <v>313</v>
      </c>
      <c r="B36" s="76">
        <v>0</v>
      </c>
      <c r="C36" s="76">
        <v>0</v>
      </c>
      <c r="D36" s="100">
        <v>0</v>
      </c>
      <c r="E36" s="89"/>
      <c r="F36" s="90"/>
      <c r="G36" s="89"/>
      <c r="H36" s="90"/>
      <c r="I36" s="89"/>
      <c r="J36" s="90"/>
      <c r="K36" s="89"/>
      <c r="L36" s="90"/>
      <c r="M36" s="89">
        <v>122</v>
      </c>
      <c r="N36" s="90"/>
      <c r="O36" s="89">
        <v>119</v>
      </c>
      <c r="P36" s="90"/>
      <c r="Q36" s="89">
        <v>121</v>
      </c>
      <c r="R36" s="90"/>
      <c r="S36" s="89"/>
      <c r="T36" s="90"/>
      <c r="U36" s="89"/>
      <c r="V36" s="90"/>
      <c r="W36" s="89"/>
      <c r="X36" s="90"/>
      <c r="Y36" s="89"/>
      <c r="Z36" s="90"/>
      <c r="AA36" s="89"/>
      <c r="AB36" s="90"/>
      <c r="AC36" s="89"/>
      <c r="AD36" s="90"/>
      <c r="AE36" s="89"/>
      <c r="AF36" s="90"/>
      <c r="AG36" s="89"/>
      <c r="AH36" s="90"/>
    </row>
    <row r="37" spans="1:34" ht="12.75">
      <c r="A37" s="76" t="s">
        <v>314</v>
      </c>
      <c r="B37" s="76">
        <v>0</v>
      </c>
      <c r="C37" s="76">
        <v>0</v>
      </c>
      <c r="D37" s="100">
        <v>0</v>
      </c>
      <c r="E37" s="89">
        <v>97</v>
      </c>
      <c r="F37" s="90"/>
      <c r="G37" s="89">
        <v>108</v>
      </c>
      <c r="H37" s="90"/>
      <c r="I37" s="89"/>
      <c r="J37" s="90"/>
      <c r="K37" s="89">
        <v>101</v>
      </c>
      <c r="L37" s="90"/>
      <c r="M37" s="89">
        <v>89</v>
      </c>
      <c r="N37" s="90"/>
      <c r="O37" s="89">
        <v>80</v>
      </c>
      <c r="P37" s="90"/>
      <c r="Q37" s="89">
        <v>78</v>
      </c>
      <c r="R37" s="90"/>
      <c r="S37" s="89"/>
      <c r="T37" s="90"/>
      <c r="U37" s="89"/>
      <c r="V37" s="90"/>
      <c r="W37" s="89"/>
      <c r="X37" s="90"/>
      <c r="Y37" s="89"/>
      <c r="Z37" s="90"/>
      <c r="AA37" s="89"/>
      <c r="AB37" s="90"/>
      <c r="AC37" s="89"/>
      <c r="AD37" s="90"/>
      <c r="AE37" s="89"/>
      <c r="AF37" s="90"/>
      <c r="AG37" s="89"/>
      <c r="AH37" s="90"/>
    </row>
    <row r="38" spans="1:34" ht="12.75">
      <c r="A38" s="386" t="s">
        <v>315</v>
      </c>
      <c r="B38" s="294"/>
      <c r="C38" s="294"/>
      <c r="D38" s="378"/>
      <c r="E38" s="384" t="s">
        <v>316</v>
      </c>
      <c r="F38" s="378"/>
      <c r="G38" s="384" t="s">
        <v>317</v>
      </c>
      <c r="H38" s="378"/>
      <c r="I38" s="384" t="s">
        <v>317</v>
      </c>
      <c r="J38" s="378"/>
      <c r="K38" s="384" t="s">
        <v>317</v>
      </c>
      <c r="L38" s="378"/>
      <c r="M38" s="384" t="s">
        <v>316</v>
      </c>
      <c r="N38" s="378"/>
      <c r="O38" s="384" t="s">
        <v>316</v>
      </c>
      <c r="P38" s="378"/>
      <c r="Q38" s="384" t="s">
        <v>317</v>
      </c>
      <c r="R38" s="378"/>
      <c r="S38" s="384"/>
      <c r="T38" s="378"/>
      <c r="U38" s="384"/>
      <c r="V38" s="378"/>
      <c r="W38" s="384"/>
      <c r="X38" s="378"/>
      <c r="Y38" s="384"/>
      <c r="Z38" s="378"/>
      <c r="AA38" s="384"/>
      <c r="AB38" s="378"/>
      <c r="AC38" s="384"/>
      <c r="AD38" s="378"/>
      <c r="AE38" s="384"/>
      <c r="AF38" s="378"/>
      <c r="AG38" s="384"/>
      <c r="AH38" s="378"/>
    </row>
    <row r="39" spans="1:34" ht="12.75">
      <c r="A39" s="294"/>
      <c r="B39" s="294"/>
      <c r="C39" s="294"/>
      <c r="D39" s="378"/>
      <c r="E39" s="384"/>
      <c r="F39" s="378"/>
      <c r="G39" s="384"/>
      <c r="H39" s="378"/>
      <c r="I39" s="384"/>
      <c r="J39" s="378"/>
      <c r="K39" s="384"/>
      <c r="L39" s="378"/>
      <c r="M39" s="384"/>
      <c r="N39" s="378"/>
      <c r="O39" s="384"/>
      <c r="P39" s="378"/>
      <c r="Q39" s="384"/>
      <c r="R39" s="378"/>
      <c r="S39" s="384"/>
      <c r="T39" s="378"/>
      <c r="U39" s="384"/>
      <c r="V39" s="378"/>
      <c r="W39" s="384"/>
      <c r="X39" s="378"/>
      <c r="Y39" s="384"/>
      <c r="Z39" s="378"/>
      <c r="AA39" s="384"/>
      <c r="AB39" s="378"/>
      <c r="AC39" s="384"/>
      <c r="AD39" s="378"/>
      <c r="AE39" s="384"/>
      <c r="AF39" s="378"/>
      <c r="AG39" s="384"/>
      <c r="AH39" s="378"/>
    </row>
    <row r="40" spans="1:34" ht="12.75">
      <c r="A40" s="317"/>
      <c r="B40" s="317"/>
      <c r="C40" s="317"/>
      <c r="D40" s="380"/>
      <c r="E40" s="385"/>
      <c r="F40" s="380"/>
      <c r="G40" s="385"/>
      <c r="H40" s="380"/>
      <c r="I40" s="385"/>
      <c r="J40" s="380"/>
      <c r="K40" s="385"/>
      <c r="L40" s="380"/>
      <c r="M40" s="385"/>
      <c r="N40" s="380"/>
      <c r="O40" s="385"/>
      <c r="P40" s="380"/>
      <c r="Q40" s="385"/>
      <c r="R40" s="380"/>
      <c r="S40" s="385"/>
      <c r="T40" s="380"/>
      <c r="U40" s="385"/>
      <c r="V40" s="380"/>
      <c r="W40" s="385"/>
      <c r="X40" s="380"/>
      <c r="Y40" s="385"/>
      <c r="Z40" s="380"/>
      <c r="AA40" s="385"/>
      <c r="AB40" s="380"/>
      <c r="AC40" s="385"/>
      <c r="AD40" s="380"/>
      <c r="AE40" s="385"/>
      <c r="AF40" s="380"/>
      <c r="AG40" s="385"/>
      <c r="AH40" s="380"/>
    </row>
    <row r="41" spans="1:34" ht="12.7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row>
    <row r="42" spans="1:34" ht="12.75">
      <c r="A42" s="41"/>
      <c r="B42" s="41"/>
      <c r="C42" s="356" t="s">
        <v>318</v>
      </c>
      <c r="D42" s="76" t="s">
        <v>319</v>
      </c>
      <c r="E42" s="76" t="s">
        <v>311</v>
      </c>
      <c r="F42" s="76" t="e">
        <f ca="1">_xludf.IFS(E15="Teste de Esteira Progressiva","Velocidade",E15="","",E15="Teste Bicicleta Ergométrica Balke","Watts")</f>
        <v>#NAME?</v>
      </c>
      <c r="G42" s="76" t="s">
        <v>311</v>
      </c>
      <c r="H42" s="76" t="e">
        <f ca="1">_xludf.IFS(G15="Teste de Esteira Progressiva","Velocidade",G15="","",G15="Teste Bicicleta Ergométrica Balke","Watts")</f>
        <v>#NAME?</v>
      </c>
      <c r="I42" s="76" t="s">
        <v>311</v>
      </c>
      <c r="J42" s="76" t="e">
        <f ca="1">_xludf.IFS(I15="Teste de Esteira Progressiva","Velocidade",I15="","",I15="Teste Bicicleta Ergométrica Balke","Watts")</f>
        <v>#NAME?</v>
      </c>
      <c r="K42" s="76" t="s">
        <v>311</v>
      </c>
      <c r="L42" s="76" t="e">
        <f ca="1">_xludf.IFS(K15="Teste de Esteira Progressiva","Velocidade",K15="","",K15="Teste Bicicleta Ergométrica Balke","Watts")</f>
        <v>#NAME?</v>
      </c>
      <c r="M42" s="76" t="s">
        <v>311</v>
      </c>
      <c r="N42" s="76" t="e">
        <f ca="1">_xludf.IFS(M15="Teste de Esteira Progressiva","Velocidade",M15="","",M15="Teste Bicicleta Ergométrica Balke","Watts")</f>
        <v>#NAME?</v>
      </c>
      <c r="O42" s="76" t="s">
        <v>311</v>
      </c>
      <c r="P42" s="76" t="e">
        <f ca="1">_xludf.IFS(O15="Teste de Esteira Progressiva","Velocidade",O15="","",O15="Teste Bicicleta Ergométrica Balke","Watts")</f>
        <v>#NAME?</v>
      </c>
      <c r="Q42" s="76" t="s">
        <v>311</v>
      </c>
      <c r="R42" s="76" t="e">
        <f ca="1">_xludf.IFS(Q15="Teste de Esteira Progressiva","Velocidade",Q15="","",Q15="Teste Bicicleta Ergométrica Balke","Watts")</f>
        <v>#NAME?</v>
      </c>
      <c r="S42" s="76" t="s">
        <v>311</v>
      </c>
      <c r="T42" s="76" t="e">
        <f ca="1">_xludf.IFS(S15="Teste de Esteira Progressiva","Velocidade",S15="","",S15="Teste Bicicleta Ergométrica Balke","Watts")</f>
        <v>#NAME?</v>
      </c>
      <c r="U42" s="76" t="s">
        <v>311</v>
      </c>
      <c r="V42" s="76" t="e">
        <f ca="1">_xludf.IFS(U15="Teste de Esteira Progressiva","Velocidade",U15="","",U15="Teste Bicicleta Ergométrica Balke","Watts")</f>
        <v>#NAME?</v>
      </c>
      <c r="W42" s="76" t="s">
        <v>311</v>
      </c>
      <c r="X42" s="76" t="e">
        <f ca="1">_xludf.IFS(W15="Teste de Esteira Progressiva","Velocidade",W15="","",W15="Teste Bicicleta Ergométrica Balke","Watts")</f>
        <v>#NAME?</v>
      </c>
      <c r="Y42" s="76" t="s">
        <v>311</v>
      </c>
      <c r="Z42" s="76" t="e">
        <f ca="1">_xludf.IFS(Y15="Teste de Esteira Progressiva","Velocidade",Y15="","",Y15="Teste Bicicleta Ergométrica Balke","Watts")</f>
        <v>#NAME?</v>
      </c>
      <c r="AA42" s="76" t="s">
        <v>311</v>
      </c>
      <c r="AB42" s="76" t="e">
        <f ca="1">_xludf.IFS(AA15="Teste de Esteira Progressiva","Velocidade",AA15="","",AA15="Teste Bicicleta Ergométrica Balke","Watts")</f>
        <v>#NAME?</v>
      </c>
      <c r="AC42" s="76" t="s">
        <v>311</v>
      </c>
      <c r="AD42" s="76" t="e">
        <f ca="1">_xludf.IFS(AC15="Teste de Esteira Progressiva","Velocidade",AC15="","",AC15="Teste Bicicleta Ergométrica Balke","Watts")</f>
        <v>#NAME?</v>
      </c>
      <c r="AE42" s="76" t="s">
        <v>311</v>
      </c>
      <c r="AF42" s="76" t="e">
        <f ca="1">_xludf.IFS(AE15="Teste de Esteira Progressiva","Velocidade",AE15="","",AE15="Teste Bicicleta Ergométrica Balke","Watts")</f>
        <v>#NAME?</v>
      </c>
      <c r="AG42" s="76" t="s">
        <v>311</v>
      </c>
      <c r="AH42" s="76" t="e">
        <f ca="1">_xludf.IFS(AG15="Teste de Esteira Progressiva","Velocidade",AG15="","",AG15="Teste Bicicleta Ergométrica Balke","Watts")</f>
        <v>#NAME?</v>
      </c>
    </row>
    <row r="43" spans="1:34" ht="12.75">
      <c r="A43" s="41"/>
      <c r="B43" s="41"/>
      <c r="C43" s="294"/>
      <c r="D43" s="102">
        <v>0.5</v>
      </c>
      <c r="E43" s="103">
        <f t="shared" ref="E43:E53" si="2">(E$14-E$12)*$D43+E$12</f>
        <v>100</v>
      </c>
      <c r="F43" s="89">
        <v>8.4</v>
      </c>
      <c r="G43" s="103">
        <f t="shared" ref="G43:G53" si="3">(G$14-G$12)*$D43+G$12</f>
        <v>112</v>
      </c>
      <c r="H43" s="89"/>
      <c r="I43" s="103">
        <f t="shared" ref="I43:I53" si="4">(I$14-I$12)*$D43+I$12</f>
        <v>109</v>
      </c>
      <c r="J43" s="89"/>
      <c r="K43" s="103">
        <f t="shared" ref="K43:K53" si="5">(K$14-K$12)*$D43+K$12</f>
        <v>113</v>
      </c>
      <c r="L43" s="89">
        <v>9.1</v>
      </c>
      <c r="M43" s="103">
        <f t="shared" ref="M43:M53" si="6">(M$14-M$12)*$D43+M$12</f>
        <v>108</v>
      </c>
      <c r="N43" s="89">
        <v>9.4</v>
      </c>
      <c r="O43" s="103">
        <f t="shared" ref="O43:O53" si="7">(O$14-O$12)*$D43+O$12</f>
        <v>99.5</v>
      </c>
      <c r="P43" s="89"/>
      <c r="Q43" s="103">
        <f t="shared" ref="Q43:Q53" si="8">(Q$14-Q$12)*$D43+Q$12</f>
        <v>101.5</v>
      </c>
      <c r="R43" s="89">
        <v>10</v>
      </c>
      <c r="S43" s="103" t="e">
        <f t="shared" ref="S43:S53" si="9">(S$14-S$12)*$D43+S$12</f>
        <v>#VALUE!</v>
      </c>
      <c r="T43" s="89"/>
      <c r="U43" s="103" t="e">
        <f t="shared" ref="U43:U53" si="10">(U$14-U$12)*$D43+U$12</f>
        <v>#VALUE!</v>
      </c>
      <c r="V43" s="89"/>
      <c r="W43" s="103" t="e">
        <f t="shared" ref="W43:W53" si="11">(W$14-W$12)*$D43+W$12</f>
        <v>#VALUE!</v>
      </c>
      <c r="X43" s="89"/>
      <c r="Y43" s="103" t="e">
        <f t="shared" ref="Y43:Y53" si="12">(Y$14-Y$12)*$D43+Y$12</f>
        <v>#VALUE!</v>
      </c>
      <c r="Z43" s="89"/>
      <c r="AA43" s="103" t="e">
        <f t="shared" ref="AA43:AA53" si="13">(AA$14-AA$12)*$D43+AA$12</f>
        <v>#VALUE!</v>
      </c>
      <c r="AB43" s="89"/>
      <c r="AC43" s="103" t="e">
        <f t="shared" ref="AC43:AC53" si="14">(AC$14-AC$12)*$D43+AC$12</f>
        <v>#VALUE!</v>
      </c>
      <c r="AD43" s="89"/>
      <c r="AE43" s="103" t="e">
        <f t="shared" ref="AE43:AE53" si="15">(AE$14-AE$12)*$D43+AE$12</f>
        <v>#VALUE!</v>
      </c>
      <c r="AF43" s="89"/>
      <c r="AG43" s="103" t="e">
        <f t="shared" ref="AG43:AG53" si="16">(AG$14-AG$12)*$D43+AG$12</f>
        <v>#VALUE!</v>
      </c>
      <c r="AH43" s="89"/>
    </row>
    <row r="44" spans="1:34" ht="12.75">
      <c r="A44" s="41"/>
      <c r="B44" s="41"/>
      <c r="C44" s="294"/>
      <c r="D44" s="102">
        <v>0.55000000000000004</v>
      </c>
      <c r="E44" s="103">
        <f t="shared" si="2"/>
        <v>105.5</v>
      </c>
      <c r="F44" s="89">
        <v>9</v>
      </c>
      <c r="G44" s="103">
        <f t="shared" si="3"/>
        <v>117.2</v>
      </c>
      <c r="H44" s="89"/>
      <c r="I44" s="103">
        <f t="shared" si="4"/>
        <v>113.9</v>
      </c>
      <c r="J44" s="89"/>
      <c r="K44" s="103">
        <f t="shared" si="5"/>
        <v>117.9</v>
      </c>
      <c r="L44" s="89">
        <v>10</v>
      </c>
      <c r="M44" s="103">
        <f t="shared" si="6"/>
        <v>113.4</v>
      </c>
      <c r="N44" s="89">
        <v>10</v>
      </c>
      <c r="O44" s="103">
        <f t="shared" si="7"/>
        <v>104.65</v>
      </c>
      <c r="P44" s="89"/>
      <c r="Q44" s="103">
        <f t="shared" si="8"/>
        <v>106.55000000000001</v>
      </c>
      <c r="R44" s="89">
        <v>10.5</v>
      </c>
      <c r="S44" s="103" t="e">
        <f t="shared" si="9"/>
        <v>#VALUE!</v>
      </c>
      <c r="T44" s="89"/>
      <c r="U44" s="103" t="e">
        <f t="shared" si="10"/>
        <v>#VALUE!</v>
      </c>
      <c r="V44" s="89"/>
      <c r="W44" s="103" t="e">
        <f t="shared" si="11"/>
        <v>#VALUE!</v>
      </c>
      <c r="X44" s="89"/>
      <c r="Y44" s="103" t="e">
        <f t="shared" si="12"/>
        <v>#VALUE!</v>
      </c>
      <c r="Z44" s="89"/>
      <c r="AA44" s="103" t="e">
        <f t="shared" si="13"/>
        <v>#VALUE!</v>
      </c>
      <c r="AB44" s="89"/>
      <c r="AC44" s="103" t="e">
        <f t="shared" si="14"/>
        <v>#VALUE!</v>
      </c>
      <c r="AD44" s="89"/>
      <c r="AE44" s="103" t="e">
        <f t="shared" si="15"/>
        <v>#VALUE!</v>
      </c>
      <c r="AF44" s="89"/>
      <c r="AG44" s="103" t="e">
        <f t="shared" si="16"/>
        <v>#VALUE!</v>
      </c>
      <c r="AH44" s="89"/>
    </row>
    <row r="45" spans="1:34" ht="12.75">
      <c r="A45" s="104"/>
      <c r="B45" s="104"/>
      <c r="C45" s="294"/>
      <c r="D45" s="102">
        <v>0.6</v>
      </c>
      <c r="E45" s="103">
        <f t="shared" si="2"/>
        <v>111</v>
      </c>
      <c r="F45" s="89">
        <v>9.8000000000000007</v>
      </c>
      <c r="G45" s="103">
        <f t="shared" si="3"/>
        <v>122.4</v>
      </c>
      <c r="H45" s="89"/>
      <c r="I45" s="103">
        <f t="shared" si="4"/>
        <v>118.8</v>
      </c>
      <c r="J45" s="89"/>
      <c r="K45" s="103">
        <f t="shared" si="5"/>
        <v>122.8</v>
      </c>
      <c r="L45" s="89">
        <v>10.9</v>
      </c>
      <c r="M45" s="103">
        <f t="shared" si="6"/>
        <v>118.8</v>
      </c>
      <c r="N45" s="89">
        <v>10.4</v>
      </c>
      <c r="O45" s="103">
        <f t="shared" si="7"/>
        <v>109.8</v>
      </c>
      <c r="P45" s="89"/>
      <c r="Q45" s="103">
        <f t="shared" si="8"/>
        <v>111.6</v>
      </c>
      <c r="R45" s="89">
        <v>10.9</v>
      </c>
      <c r="S45" s="103" t="e">
        <f t="shared" si="9"/>
        <v>#VALUE!</v>
      </c>
      <c r="T45" s="89"/>
      <c r="U45" s="103" t="e">
        <f t="shared" si="10"/>
        <v>#VALUE!</v>
      </c>
      <c r="V45" s="89"/>
      <c r="W45" s="103" t="e">
        <f t="shared" si="11"/>
        <v>#VALUE!</v>
      </c>
      <c r="X45" s="89"/>
      <c r="Y45" s="103" t="e">
        <f t="shared" si="12"/>
        <v>#VALUE!</v>
      </c>
      <c r="Z45" s="89"/>
      <c r="AA45" s="103" t="e">
        <f t="shared" si="13"/>
        <v>#VALUE!</v>
      </c>
      <c r="AB45" s="89"/>
      <c r="AC45" s="103" t="e">
        <f t="shared" si="14"/>
        <v>#VALUE!</v>
      </c>
      <c r="AD45" s="89"/>
      <c r="AE45" s="103" t="e">
        <f t="shared" si="15"/>
        <v>#VALUE!</v>
      </c>
      <c r="AF45" s="89"/>
      <c r="AG45" s="103" t="e">
        <f t="shared" si="16"/>
        <v>#VALUE!</v>
      </c>
      <c r="AH45" s="89"/>
    </row>
    <row r="46" spans="1:34" ht="12.75">
      <c r="A46" s="104"/>
      <c r="B46" s="104"/>
      <c r="C46" s="294"/>
      <c r="D46" s="102">
        <v>0.65</v>
      </c>
      <c r="E46" s="103">
        <f t="shared" si="2"/>
        <v>116.5</v>
      </c>
      <c r="F46" s="105" t="e">
        <f t="shared" ref="F46:F53" ca="1" si="17">IF(E$17="","",OFFSET($B$16,MATCH(E46,E$17:E$34,1),_xludf.IFS(E$15="Teste de Esteira Progressiva",1,E$15="Teste Bicicleta ergométrica Balke",2))+((E46-OFFSET(E$16,MATCH(E46,E$17:E$34,1),))/(OFFSET(E$16,MATCH(E46,E$17:E$34,1)+1,)-OFFSET(E$16,MATCH(E46,E$17:E$34,1),))))</f>
        <v>#NAME?</v>
      </c>
      <c r="G46" s="103">
        <f t="shared" si="3"/>
        <v>127.60000000000001</v>
      </c>
      <c r="H46" s="89"/>
      <c r="I46" s="103">
        <f t="shared" si="4"/>
        <v>123.7</v>
      </c>
      <c r="J46" s="89"/>
      <c r="K46" s="103">
        <f t="shared" si="5"/>
        <v>127.7</v>
      </c>
      <c r="L46" s="89">
        <v>11.8</v>
      </c>
      <c r="M46" s="103">
        <f t="shared" si="6"/>
        <v>124.2</v>
      </c>
      <c r="N46" s="89">
        <v>11.2</v>
      </c>
      <c r="O46" s="103">
        <f t="shared" si="7"/>
        <v>114.95</v>
      </c>
      <c r="P46" s="89"/>
      <c r="Q46" s="103">
        <f t="shared" si="8"/>
        <v>116.65</v>
      </c>
      <c r="R46" s="89">
        <v>11.8</v>
      </c>
      <c r="S46" s="103" t="e">
        <f t="shared" si="9"/>
        <v>#VALUE!</v>
      </c>
      <c r="T46" s="89"/>
      <c r="U46" s="103" t="e">
        <f t="shared" si="10"/>
        <v>#VALUE!</v>
      </c>
      <c r="V46" s="89"/>
      <c r="W46" s="103" t="e">
        <f t="shared" si="11"/>
        <v>#VALUE!</v>
      </c>
      <c r="X46" s="89"/>
      <c r="Y46" s="103" t="e">
        <f t="shared" si="12"/>
        <v>#VALUE!</v>
      </c>
      <c r="Z46" s="89"/>
      <c r="AA46" s="103" t="e">
        <f t="shared" si="13"/>
        <v>#VALUE!</v>
      </c>
      <c r="AB46" s="89"/>
      <c r="AC46" s="103" t="e">
        <f t="shared" si="14"/>
        <v>#VALUE!</v>
      </c>
      <c r="AD46" s="89"/>
      <c r="AE46" s="103" t="e">
        <f t="shared" si="15"/>
        <v>#VALUE!</v>
      </c>
      <c r="AF46" s="89"/>
      <c r="AG46" s="103" t="e">
        <f t="shared" si="16"/>
        <v>#VALUE!</v>
      </c>
      <c r="AH46" s="89"/>
    </row>
    <row r="47" spans="1:34" ht="12.75">
      <c r="A47" s="104"/>
      <c r="B47" s="104"/>
      <c r="C47" s="294"/>
      <c r="D47" s="102">
        <v>0.7</v>
      </c>
      <c r="E47" s="103">
        <f t="shared" si="2"/>
        <v>122</v>
      </c>
      <c r="F47" s="105" t="e">
        <f t="shared" ca="1" si="17"/>
        <v>#NAME?</v>
      </c>
      <c r="G47" s="103">
        <f t="shared" si="3"/>
        <v>132.80000000000001</v>
      </c>
      <c r="H47" s="89"/>
      <c r="I47" s="103">
        <f t="shared" si="4"/>
        <v>128.6</v>
      </c>
      <c r="J47" s="89"/>
      <c r="K47" s="103">
        <f t="shared" si="5"/>
        <v>132.6</v>
      </c>
      <c r="L47" s="89">
        <v>12.7</v>
      </c>
      <c r="M47" s="103">
        <f t="shared" si="6"/>
        <v>129.6</v>
      </c>
      <c r="N47" s="89">
        <v>12.1</v>
      </c>
      <c r="O47" s="103">
        <f t="shared" si="7"/>
        <v>120.1</v>
      </c>
      <c r="P47" s="89"/>
      <c r="Q47" s="103">
        <f t="shared" si="8"/>
        <v>121.69999999999999</v>
      </c>
      <c r="R47" s="89">
        <v>12.7</v>
      </c>
      <c r="S47" s="103" t="e">
        <f t="shared" si="9"/>
        <v>#VALUE!</v>
      </c>
      <c r="T47" s="89"/>
      <c r="U47" s="103" t="e">
        <f t="shared" si="10"/>
        <v>#VALUE!</v>
      </c>
      <c r="V47" s="89"/>
      <c r="W47" s="103" t="e">
        <f t="shared" si="11"/>
        <v>#VALUE!</v>
      </c>
      <c r="X47" s="89"/>
      <c r="Y47" s="103" t="e">
        <f t="shared" si="12"/>
        <v>#VALUE!</v>
      </c>
      <c r="Z47" s="89"/>
      <c r="AA47" s="103" t="e">
        <f t="shared" si="13"/>
        <v>#VALUE!</v>
      </c>
      <c r="AB47" s="89"/>
      <c r="AC47" s="103" t="e">
        <f t="shared" si="14"/>
        <v>#VALUE!</v>
      </c>
      <c r="AD47" s="89"/>
      <c r="AE47" s="103" t="e">
        <f t="shared" si="15"/>
        <v>#VALUE!</v>
      </c>
      <c r="AF47" s="89"/>
      <c r="AG47" s="103" t="e">
        <f t="shared" si="16"/>
        <v>#VALUE!</v>
      </c>
      <c r="AH47" s="89"/>
    </row>
    <row r="48" spans="1:34" ht="12.75">
      <c r="A48" s="104"/>
      <c r="B48" s="104"/>
      <c r="C48" s="294"/>
      <c r="D48" s="102">
        <v>0.75</v>
      </c>
      <c r="E48" s="103">
        <f t="shared" si="2"/>
        <v>127.5</v>
      </c>
      <c r="F48" s="105" t="e">
        <f t="shared" ca="1" si="17"/>
        <v>#NAME?</v>
      </c>
      <c r="G48" s="103">
        <f t="shared" si="3"/>
        <v>138</v>
      </c>
      <c r="H48" s="89"/>
      <c r="I48" s="103">
        <f t="shared" si="4"/>
        <v>133.5</v>
      </c>
      <c r="J48" s="89"/>
      <c r="K48" s="103">
        <f t="shared" si="5"/>
        <v>137.5</v>
      </c>
      <c r="L48" s="89">
        <v>13.6</v>
      </c>
      <c r="M48" s="103">
        <f t="shared" si="6"/>
        <v>135</v>
      </c>
      <c r="N48" s="89">
        <v>13</v>
      </c>
      <c r="O48" s="103">
        <f t="shared" si="7"/>
        <v>125.25</v>
      </c>
      <c r="P48" s="89"/>
      <c r="Q48" s="103">
        <f t="shared" si="8"/>
        <v>126.75</v>
      </c>
      <c r="R48" s="89">
        <v>13.6</v>
      </c>
      <c r="S48" s="103" t="e">
        <f t="shared" si="9"/>
        <v>#VALUE!</v>
      </c>
      <c r="T48" s="89"/>
      <c r="U48" s="103" t="e">
        <f t="shared" si="10"/>
        <v>#VALUE!</v>
      </c>
      <c r="V48" s="89"/>
      <c r="W48" s="103" t="e">
        <f t="shared" si="11"/>
        <v>#VALUE!</v>
      </c>
      <c r="X48" s="89"/>
      <c r="Y48" s="103" t="e">
        <f t="shared" si="12"/>
        <v>#VALUE!</v>
      </c>
      <c r="Z48" s="89"/>
      <c r="AA48" s="103" t="e">
        <f t="shared" si="13"/>
        <v>#VALUE!</v>
      </c>
      <c r="AB48" s="89"/>
      <c r="AC48" s="103" t="e">
        <f t="shared" si="14"/>
        <v>#VALUE!</v>
      </c>
      <c r="AD48" s="89"/>
      <c r="AE48" s="103" t="e">
        <f t="shared" si="15"/>
        <v>#VALUE!</v>
      </c>
      <c r="AF48" s="89"/>
      <c r="AG48" s="103" t="e">
        <f t="shared" si="16"/>
        <v>#VALUE!</v>
      </c>
      <c r="AH48" s="89"/>
    </row>
    <row r="49" spans="1:34" ht="12.75">
      <c r="A49" s="104"/>
      <c r="B49" s="104"/>
      <c r="C49" s="294"/>
      <c r="D49" s="102">
        <v>0.8</v>
      </c>
      <c r="E49" s="103">
        <f t="shared" si="2"/>
        <v>133</v>
      </c>
      <c r="F49" s="105" t="e">
        <f t="shared" ca="1" si="17"/>
        <v>#NAME?</v>
      </c>
      <c r="G49" s="103">
        <f t="shared" si="3"/>
        <v>143.19999999999999</v>
      </c>
      <c r="H49" s="89"/>
      <c r="I49" s="103">
        <f t="shared" si="4"/>
        <v>138.4</v>
      </c>
      <c r="J49" s="89"/>
      <c r="K49" s="103">
        <f t="shared" si="5"/>
        <v>142.4</v>
      </c>
      <c r="L49" s="89">
        <v>14.5</v>
      </c>
      <c r="M49" s="103">
        <f t="shared" si="6"/>
        <v>140.4</v>
      </c>
      <c r="N49" s="89">
        <v>13.8</v>
      </c>
      <c r="O49" s="103">
        <f t="shared" si="7"/>
        <v>130.4</v>
      </c>
      <c r="P49" s="89"/>
      <c r="Q49" s="103">
        <f t="shared" si="8"/>
        <v>131.80000000000001</v>
      </c>
      <c r="R49" s="89">
        <v>14.5</v>
      </c>
      <c r="S49" s="103" t="e">
        <f t="shared" si="9"/>
        <v>#VALUE!</v>
      </c>
      <c r="T49" s="89"/>
      <c r="U49" s="103" t="e">
        <f t="shared" si="10"/>
        <v>#VALUE!</v>
      </c>
      <c r="V49" s="89"/>
      <c r="W49" s="103" t="e">
        <f t="shared" si="11"/>
        <v>#VALUE!</v>
      </c>
      <c r="X49" s="89"/>
      <c r="Y49" s="103" t="e">
        <f t="shared" si="12"/>
        <v>#VALUE!</v>
      </c>
      <c r="Z49" s="89"/>
      <c r="AA49" s="103" t="e">
        <f t="shared" si="13"/>
        <v>#VALUE!</v>
      </c>
      <c r="AB49" s="89"/>
      <c r="AC49" s="103" t="e">
        <f t="shared" si="14"/>
        <v>#VALUE!</v>
      </c>
      <c r="AD49" s="89"/>
      <c r="AE49" s="103" t="e">
        <f t="shared" si="15"/>
        <v>#VALUE!</v>
      </c>
      <c r="AF49" s="89"/>
      <c r="AG49" s="103" t="e">
        <f t="shared" si="16"/>
        <v>#VALUE!</v>
      </c>
      <c r="AH49" s="89"/>
    </row>
    <row r="50" spans="1:34" ht="12.75">
      <c r="A50" s="104"/>
      <c r="B50" s="104"/>
      <c r="C50" s="294"/>
      <c r="D50" s="102">
        <v>0.85</v>
      </c>
      <c r="E50" s="103">
        <f t="shared" si="2"/>
        <v>138.5</v>
      </c>
      <c r="F50" s="105" t="e">
        <f t="shared" ca="1" si="17"/>
        <v>#NAME?</v>
      </c>
      <c r="G50" s="103">
        <f t="shared" si="3"/>
        <v>148.39999999999998</v>
      </c>
      <c r="H50" s="89"/>
      <c r="I50" s="103">
        <f t="shared" si="4"/>
        <v>143.30000000000001</v>
      </c>
      <c r="J50" s="89"/>
      <c r="K50" s="103">
        <f t="shared" si="5"/>
        <v>147.30000000000001</v>
      </c>
      <c r="L50" s="89">
        <v>15.4</v>
      </c>
      <c r="M50" s="103">
        <f t="shared" si="6"/>
        <v>145.80000000000001</v>
      </c>
      <c r="N50" s="89">
        <v>14.7</v>
      </c>
      <c r="O50" s="103">
        <f t="shared" si="7"/>
        <v>135.55000000000001</v>
      </c>
      <c r="P50" s="89"/>
      <c r="Q50" s="103">
        <f t="shared" si="8"/>
        <v>136.85</v>
      </c>
      <c r="R50" s="89">
        <v>15.4</v>
      </c>
      <c r="S50" s="103" t="e">
        <f t="shared" si="9"/>
        <v>#VALUE!</v>
      </c>
      <c r="T50" s="89"/>
      <c r="U50" s="103" t="e">
        <f t="shared" si="10"/>
        <v>#VALUE!</v>
      </c>
      <c r="V50" s="89"/>
      <c r="W50" s="103" t="e">
        <f t="shared" si="11"/>
        <v>#VALUE!</v>
      </c>
      <c r="X50" s="89"/>
      <c r="Y50" s="103" t="e">
        <f t="shared" si="12"/>
        <v>#VALUE!</v>
      </c>
      <c r="Z50" s="89"/>
      <c r="AA50" s="103" t="e">
        <f t="shared" si="13"/>
        <v>#VALUE!</v>
      </c>
      <c r="AB50" s="89"/>
      <c r="AC50" s="103" t="e">
        <f t="shared" si="14"/>
        <v>#VALUE!</v>
      </c>
      <c r="AD50" s="89"/>
      <c r="AE50" s="103" t="e">
        <f t="shared" si="15"/>
        <v>#VALUE!</v>
      </c>
      <c r="AF50" s="89"/>
      <c r="AG50" s="103" t="e">
        <f t="shared" si="16"/>
        <v>#VALUE!</v>
      </c>
      <c r="AH50" s="89"/>
    </row>
    <row r="51" spans="1:34" ht="12.75">
      <c r="A51" s="104"/>
      <c r="B51" s="104"/>
      <c r="C51" s="294"/>
      <c r="D51" s="102">
        <v>0.9</v>
      </c>
      <c r="E51" s="103">
        <f t="shared" si="2"/>
        <v>144</v>
      </c>
      <c r="F51" s="105" t="e">
        <f t="shared" ca="1" si="17"/>
        <v>#NAME?</v>
      </c>
      <c r="G51" s="103">
        <f t="shared" si="3"/>
        <v>153.60000000000002</v>
      </c>
      <c r="H51" s="89"/>
      <c r="I51" s="103">
        <f t="shared" si="4"/>
        <v>148.19999999999999</v>
      </c>
      <c r="J51" s="89"/>
      <c r="K51" s="103">
        <f t="shared" si="5"/>
        <v>152.19999999999999</v>
      </c>
      <c r="L51" s="89">
        <v>16.3</v>
      </c>
      <c r="M51" s="103">
        <f t="shared" si="6"/>
        <v>151.19999999999999</v>
      </c>
      <c r="N51" s="89">
        <v>15.6</v>
      </c>
      <c r="O51" s="103">
        <f t="shared" si="7"/>
        <v>140.69999999999999</v>
      </c>
      <c r="P51" s="89"/>
      <c r="Q51" s="103">
        <f t="shared" si="8"/>
        <v>141.9</v>
      </c>
      <c r="R51" s="89">
        <v>16.3</v>
      </c>
      <c r="S51" s="103" t="e">
        <f t="shared" si="9"/>
        <v>#VALUE!</v>
      </c>
      <c r="T51" s="89"/>
      <c r="U51" s="103" t="e">
        <f t="shared" si="10"/>
        <v>#VALUE!</v>
      </c>
      <c r="V51" s="89"/>
      <c r="W51" s="103" t="e">
        <f t="shared" si="11"/>
        <v>#VALUE!</v>
      </c>
      <c r="X51" s="89"/>
      <c r="Y51" s="103" t="e">
        <f t="shared" si="12"/>
        <v>#VALUE!</v>
      </c>
      <c r="Z51" s="89"/>
      <c r="AA51" s="103" t="e">
        <f t="shared" si="13"/>
        <v>#VALUE!</v>
      </c>
      <c r="AB51" s="89"/>
      <c r="AC51" s="103" t="e">
        <f t="shared" si="14"/>
        <v>#VALUE!</v>
      </c>
      <c r="AD51" s="89"/>
      <c r="AE51" s="103" t="e">
        <f t="shared" si="15"/>
        <v>#VALUE!</v>
      </c>
      <c r="AF51" s="89"/>
      <c r="AG51" s="103" t="e">
        <f t="shared" si="16"/>
        <v>#VALUE!</v>
      </c>
      <c r="AH51" s="89"/>
    </row>
    <row r="52" spans="1:34" ht="12.75">
      <c r="A52" s="104"/>
      <c r="B52" s="104"/>
      <c r="C52" s="294"/>
      <c r="D52" s="102">
        <v>0.95</v>
      </c>
      <c r="E52" s="103">
        <f t="shared" si="2"/>
        <v>149.5</v>
      </c>
      <c r="F52" s="105" t="e">
        <f t="shared" ca="1" si="17"/>
        <v>#NAME?</v>
      </c>
      <c r="G52" s="103">
        <f t="shared" si="3"/>
        <v>158.80000000000001</v>
      </c>
      <c r="H52" s="89"/>
      <c r="I52" s="103">
        <f t="shared" si="4"/>
        <v>153.1</v>
      </c>
      <c r="J52" s="89"/>
      <c r="K52" s="103">
        <f t="shared" si="5"/>
        <v>157.1</v>
      </c>
      <c r="L52" s="89">
        <v>17.2</v>
      </c>
      <c r="M52" s="103">
        <f t="shared" si="6"/>
        <v>156.6</v>
      </c>
      <c r="N52" s="89">
        <v>16.399999999999999</v>
      </c>
      <c r="O52" s="103">
        <f t="shared" si="7"/>
        <v>145.85</v>
      </c>
      <c r="P52" s="89"/>
      <c r="Q52" s="103">
        <f t="shared" si="8"/>
        <v>146.94999999999999</v>
      </c>
      <c r="R52" s="89">
        <v>17.2</v>
      </c>
      <c r="S52" s="103" t="e">
        <f t="shared" si="9"/>
        <v>#VALUE!</v>
      </c>
      <c r="T52" s="89"/>
      <c r="U52" s="103" t="e">
        <f t="shared" si="10"/>
        <v>#VALUE!</v>
      </c>
      <c r="V52" s="89"/>
      <c r="W52" s="103" t="e">
        <f t="shared" si="11"/>
        <v>#VALUE!</v>
      </c>
      <c r="X52" s="89"/>
      <c r="Y52" s="103" t="e">
        <f t="shared" si="12"/>
        <v>#VALUE!</v>
      </c>
      <c r="Z52" s="89"/>
      <c r="AA52" s="103" t="e">
        <f t="shared" si="13"/>
        <v>#VALUE!</v>
      </c>
      <c r="AB52" s="89"/>
      <c r="AC52" s="103" t="e">
        <f t="shared" si="14"/>
        <v>#VALUE!</v>
      </c>
      <c r="AD52" s="89"/>
      <c r="AE52" s="103" t="e">
        <f t="shared" si="15"/>
        <v>#VALUE!</v>
      </c>
      <c r="AF52" s="89"/>
      <c r="AG52" s="103" t="e">
        <f t="shared" si="16"/>
        <v>#VALUE!</v>
      </c>
      <c r="AH52" s="89"/>
    </row>
    <row r="53" spans="1:34" ht="12.75">
      <c r="A53" s="104"/>
      <c r="B53" s="104"/>
      <c r="C53" s="294"/>
      <c r="D53" s="102">
        <v>1</v>
      </c>
      <c r="E53" s="103">
        <f t="shared" si="2"/>
        <v>155</v>
      </c>
      <c r="F53" s="105" t="e">
        <f t="shared" ca="1" si="17"/>
        <v>#NAME?</v>
      </c>
      <c r="G53" s="103">
        <f t="shared" si="3"/>
        <v>164</v>
      </c>
      <c r="H53" s="89"/>
      <c r="I53" s="103">
        <f t="shared" si="4"/>
        <v>158</v>
      </c>
      <c r="J53" s="89"/>
      <c r="K53" s="103">
        <f t="shared" si="5"/>
        <v>162</v>
      </c>
      <c r="L53" s="89">
        <v>18.2</v>
      </c>
      <c r="M53" s="103">
        <f t="shared" si="6"/>
        <v>162</v>
      </c>
      <c r="N53" s="89">
        <v>17.3</v>
      </c>
      <c r="O53" s="103">
        <f t="shared" si="7"/>
        <v>151</v>
      </c>
      <c r="P53" s="89"/>
      <c r="Q53" s="103">
        <f t="shared" si="8"/>
        <v>152</v>
      </c>
      <c r="R53" s="89">
        <v>18.100000000000001</v>
      </c>
      <c r="S53" s="103" t="e">
        <f t="shared" si="9"/>
        <v>#VALUE!</v>
      </c>
      <c r="T53" s="89"/>
      <c r="U53" s="103" t="e">
        <f t="shared" si="10"/>
        <v>#VALUE!</v>
      </c>
      <c r="V53" s="89"/>
      <c r="W53" s="103" t="e">
        <f t="shared" si="11"/>
        <v>#VALUE!</v>
      </c>
      <c r="X53" s="89"/>
      <c r="Y53" s="103" t="e">
        <f t="shared" si="12"/>
        <v>#VALUE!</v>
      </c>
      <c r="Z53" s="89"/>
      <c r="AA53" s="103" t="e">
        <f t="shared" si="13"/>
        <v>#VALUE!</v>
      </c>
      <c r="AB53" s="89"/>
      <c r="AC53" s="103" t="e">
        <f t="shared" si="14"/>
        <v>#VALUE!</v>
      </c>
      <c r="AD53" s="89"/>
      <c r="AE53" s="103" t="e">
        <f t="shared" si="15"/>
        <v>#VALUE!</v>
      </c>
      <c r="AF53" s="89"/>
      <c r="AG53" s="103" t="e">
        <f t="shared" si="16"/>
        <v>#VALUE!</v>
      </c>
      <c r="AH53" s="89"/>
    </row>
    <row r="54" spans="1:34" ht="12.75">
      <c r="A54" s="104"/>
      <c r="B54" s="104"/>
      <c r="C54" s="294"/>
      <c r="D54" s="102">
        <v>1.1000000000000001</v>
      </c>
      <c r="E54" s="12" t="s">
        <v>55</v>
      </c>
      <c r="F54" s="89"/>
      <c r="G54" s="12" t="s">
        <v>55</v>
      </c>
      <c r="H54" s="89"/>
      <c r="I54" s="12" t="s">
        <v>55</v>
      </c>
      <c r="J54" s="89"/>
      <c r="K54" s="12" t="s">
        <v>55</v>
      </c>
      <c r="L54" s="89">
        <v>20</v>
      </c>
      <c r="M54" s="12" t="s">
        <v>55</v>
      </c>
      <c r="N54" s="89"/>
      <c r="O54" s="12" t="s">
        <v>55</v>
      </c>
      <c r="P54" s="89"/>
      <c r="Q54" s="12" t="s">
        <v>55</v>
      </c>
      <c r="R54" s="89">
        <v>21.1</v>
      </c>
      <c r="S54" s="12" t="s">
        <v>55</v>
      </c>
      <c r="T54" s="89"/>
      <c r="U54" s="12" t="s">
        <v>55</v>
      </c>
      <c r="V54" s="89"/>
      <c r="W54" s="12" t="s">
        <v>55</v>
      </c>
      <c r="X54" s="89"/>
      <c r="Y54" s="12" t="s">
        <v>55</v>
      </c>
      <c r="Z54" s="89"/>
      <c r="AA54" s="12" t="s">
        <v>55</v>
      </c>
      <c r="AB54" s="89"/>
      <c r="AC54" s="12" t="s">
        <v>55</v>
      </c>
      <c r="AD54" s="89"/>
      <c r="AE54" s="12" t="s">
        <v>55</v>
      </c>
      <c r="AF54" s="89"/>
      <c r="AG54" s="12" t="s">
        <v>55</v>
      </c>
      <c r="AH54" s="89"/>
    </row>
    <row r="55" spans="1:34" ht="12.75">
      <c r="A55" s="104"/>
      <c r="B55" s="104"/>
      <c r="C55" s="294"/>
      <c r="D55" s="102">
        <v>1.2</v>
      </c>
      <c r="E55" s="12" t="s">
        <v>55</v>
      </c>
      <c r="F55" s="89"/>
      <c r="G55" s="12" t="s">
        <v>55</v>
      </c>
      <c r="H55" s="89"/>
      <c r="I55" s="12" t="s">
        <v>55</v>
      </c>
      <c r="J55" s="89"/>
      <c r="K55" s="12" t="s">
        <v>55</v>
      </c>
      <c r="L55" s="89">
        <v>21.8</v>
      </c>
      <c r="M55" s="12" t="s">
        <v>55</v>
      </c>
      <c r="N55" s="89"/>
      <c r="O55" s="12" t="s">
        <v>55</v>
      </c>
      <c r="P55" s="89"/>
      <c r="Q55" s="12" t="s">
        <v>55</v>
      </c>
      <c r="R55" s="89">
        <v>23.1</v>
      </c>
      <c r="S55" s="12" t="s">
        <v>55</v>
      </c>
      <c r="T55" s="89"/>
      <c r="U55" s="12" t="s">
        <v>55</v>
      </c>
      <c r="V55" s="89"/>
      <c r="W55" s="12" t="s">
        <v>55</v>
      </c>
      <c r="X55" s="89"/>
      <c r="Y55" s="12" t="s">
        <v>55</v>
      </c>
      <c r="Z55" s="89"/>
      <c r="AA55" s="12" t="s">
        <v>55</v>
      </c>
      <c r="AB55" s="89"/>
      <c r="AC55" s="12" t="s">
        <v>55</v>
      </c>
      <c r="AD55" s="89"/>
      <c r="AE55" s="12" t="s">
        <v>55</v>
      </c>
      <c r="AF55" s="89"/>
      <c r="AG55" s="12" t="s">
        <v>55</v>
      </c>
      <c r="AH55" s="89"/>
    </row>
    <row r="57" spans="1:34" ht="12.75">
      <c r="C57" s="356" t="s">
        <v>320</v>
      </c>
      <c r="D57" s="76" t="s">
        <v>319</v>
      </c>
      <c r="E57" s="76" t="s">
        <v>311</v>
      </c>
      <c r="F57" s="12" t="e">
        <f ca="1">F42</f>
        <v>#NAME?</v>
      </c>
      <c r="G57" s="76" t="s">
        <v>311</v>
      </c>
      <c r="H57" s="12" t="e">
        <f ca="1">H42</f>
        <v>#NAME?</v>
      </c>
      <c r="I57" s="76" t="s">
        <v>311</v>
      </c>
      <c r="J57" s="12" t="e">
        <f ca="1">J42</f>
        <v>#NAME?</v>
      </c>
      <c r="K57" s="76" t="s">
        <v>311</v>
      </c>
      <c r="L57" s="12" t="e">
        <f ca="1">L42</f>
        <v>#NAME?</v>
      </c>
      <c r="M57" s="76" t="s">
        <v>311</v>
      </c>
      <c r="N57" s="12" t="e">
        <f ca="1">N42</f>
        <v>#NAME?</v>
      </c>
      <c r="O57" s="76" t="s">
        <v>311</v>
      </c>
      <c r="P57" s="12" t="e">
        <f ca="1">P42</f>
        <v>#NAME?</v>
      </c>
      <c r="Q57" s="76" t="s">
        <v>311</v>
      </c>
      <c r="R57" s="12" t="e">
        <f ca="1">R42</f>
        <v>#NAME?</v>
      </c>
      <c r="S57" s="76" t="s">
        <v>311</v>
      </c>
      <c r="T57" s="12" t="e">
        <f ca="1">T42</f>
        <v>#NAME?</v>
      </c>
      <c r="U57" s="76" t="s">
        <v>311</v>
      </c>
      <c r="V57" s="12" t="e">
        <f ca="1">V42</f>
        <v>#NAME?</v>
      </c>
      <c r="W57" s="76" t="s">
        <v>311</v>
      </c>
      <c r="X57" s="12" t="e">
        <f ca="1">X42</f>
        <v>#NAME?</v>
      </c>
      <c r="Y57" s="76" t="s">
        <v>311</v>
      </c>
      <c r="Z57" s="12" t="e">
        <f ca="1">Z42</f>
        <v>#NAME?</v>
      </c>
      <c r="AA57" s="76" t="s">
        <v>311</v>
      </c>
      <c r="AB57" s="12" t="e">
        <f ca="1">AB42</f>
        <v>#NAME?</v>
      </c>
      <c r="AC57" s="76" t="s">
        <v>311</v>
      </c>
      <c r="AD57" s="12" t="e">
        <f ca="1">AD42</f>
        <v>#NAME?</v>
      </c>
      <c r="AE57" s="76" t="s">
        <v>311</v>
      </c>
      <c r="AF57" s="12" t="e">
        <f ca="1">AF42</f>
        <v>#NAME?</v>
      </c>
      <c r="AG57" s="76" t="s">
        <v>311</v>
      </c>
      <c r="AH57" s="12" t="e">
        <f ca="1">AH42</f>
        <v>#NAME?</v>
      </c>
    </row>
    <row r="58" spans="1:34" ht="12.75">
      <c r="C58" s="294"/>
      <c r="D58" s="102">
        <v>0.5</v>
      </c>
      <c r="E58" s="103">
        <f t="shared" ref="E58:E68" si="18">E43</f>
        <v>100</v>
      </c>
      <c r="F58" s="105" t="e">
        <f ca="1">IF(OR(E$17="",E$18&gt;E43),"",OFFSET($B$16,MATCH(E58,E$17:E$34,1),_xludf.IFS(E$15="Teste de Esteira Progressiva",1,E$15="Teste Bicicleta ergométrica Balke",2))+((E58-OFFSET(E$16,MATCH(E58,E$17:E$34,1),))/(OFFSET(E$16,MATCH(E58,E$17:E$34,1)+1,)-OFFSET(E$16,MATCH(E58,E$17:E$34,1),))))</f>
        <v>#NAME?</v>
      </c>
      <c r="G58" s="103">
        <f t="shared" ref="G58:G68" si="19">G43</f>
        <v>112</v>
      </c>
      <c r="H58" s="105" t="e">
        <f ca="1">IF(OR(G$17="",G$18&gt;G43),"",OFFSET($B$16,MATCH(G58,G$17:G$34,1),_xludf.IFS(G$15="Teste de Esteira Progressiva",1,G$15="Teste Bicicleta ergométrica Balke",2))+((G58-OFFSET(G$16,MATCH(G58,G$17:G$34,1),))/(OFFSET(G$16,MATCH(G58,G$17:G$34,1)+1,)-OFFSET(G$16,MATCH(G58,G$17:G$34,1),))))</f>
        <v>#NAME?</v>
      </c>
      <c r="I58" s="103">
        <f t="shared" ref="I58:I68" si="20">I43</f>
        <v>109</v>
      </c>
      <c r="J58" s="105" t="e">
        <f ca="1">IF(OR(I$17="",I$18&gt;I43),"",OFFSET($B$16,MATCH(I58,I$17:I$34,1),_xludf.IFS(I$15="Teste de Esteira Progressiva",1,I$15="Teste Bicicleta ergométrica Balke",2))+((I58-OFFSET(I$16,MATCH(I58,I$17:I$34,1),))/(OFFSET(I$16,MATCH(I58,I$17:I$34,1)+1,)-OFFSET(I$16,MATCH(I58,I$17:I$34,1),))))</f>
        <v>#NAME?</v>
      </c>
      <c r="K58" s="103">
        <f t="shared" ref="K58:K68" si="21">K43</f>
        <v>113</v>
      </c>
      <c r="L58" s="105" t="e">
        <f ca="1">IF(OR(K$17="",K$18&gt;K43),"",OFFSET($B$16,MATCH(K58,K$17:K$34,1),_xludf.IFS(K$15="Teste de Esteira Progressiva",1,K$15="Teste Bicicleta ergométrica Balke",2))+((K58-OFFSET(K$16,MATCH(K58,K$17:K$34,1),))/(OFFSET(K$16,MATCH(K58,K$17:K$34,1)+1,)-OFFSET(K$16,MATCH(K58,K$17:K$34,1),))))</f>
        <v>#NAME?</v>
      </c>
      <c r="M58" s="103">
        <f t="shared" ref="M58:M68" si="22">M43</f>
        <v>108</v>
      </c>
      <c r="N58" s="105" t="e">
        <f ca="1">IF(OR(M$17="",M$18&gt;M43),"",OFFSET($B$16,MATCH(M58,M$17:M$34,1),_xludf.IFS(M$15="Teste de Esteira Progressiva",1,M$15="Teste Bicicleta ergométrica Balke",2))+((M58-OFFSET(M$16,MATCH(M58,M$17:M$34,1),))/(OFFSET(M$16,MATCH(M58,M$17:M$34,1)+1,)-OFFSET(M$16,MATCH(M58,M$17:M$34,1),))))</f>
        <v>#NAME?</v>
      </c>
      <c r="O58" s="103">
        <f t="shared" ref="O58:O68" si="23">O43</f>
        <v>99.5</v>
      </c>
      <c r="P58" s="105" t="e">
        <f ca="1">IF(OR(O$17="",O$18&gt;O43),"",OFFSET($B$16,MATCH(O58,O$17:O$34,1),_xludf.IFS(O$15="Teste de Esteira Progressiva",1,O$15="Teste Bicicleta ergométrica Balke",2))+((O58-OFFSET(O$16,MATCH(O58,O$17:O$34,1),))/(OFFSET(O$16,MATCH(O58,O$17:O$34,1)+1,)-OFFSET(O$16,MATCH(O58,O$17:O$34,1),))))</f>
        <v>#NAME?</v>
      </c>
      <c r="Q58" s="103">
        <f t="shared" ref="Q58:Q68" si="24">Q43</f>
        <v>101.5</v>
      </c>
      <c r="R58" s="105" t="e">
        <f ca="1">IF(OR(Q$17="",Q$18&gt;Q43),"",OFFSET($B$16,MATCH(Q58,Q$17:Q$34,1),_xludf.IFS(Q$15="Teste de Esteira Progressiva",1,Q$15="Teste Bicicleta ergométrica Balke",2))+((Q58-OFFSET(Q$16,MATCH(Q58,Q$17:Q$34,1),))/(OFFSET(Q$16,MATCH(Q58,Q$17:Q$34,1)+1,)-OFFSET(Q$16,MATCH(Q58,Q$17:Q$34,1),))))</f>
        <v>#NAME?</v>
      </c>
      <c r="S58" s="103" t="e">
        <f t="shared" ref="S58:S68" si="25">S43</f>
        <v>#VALUE!</v>
      </c>
      <c r="T58" s="105" t="e">
        <f ca="1">IF(OR(S$17="",S$18&gt;S43),"",OFFSET($B$16,MATCH(S58,S$17:S$34,1),_xludf.IFS(S$15="Teste de Esteira Progressiva",1,S$15="Teste Bicicleta ergométrica Balke",2))+((S58-OFFSET(S$16,MATCH(S58,S$17:S$34,1),))/(OFFSET(S$16,MATCH(S58,S$17:S$34,1)+1,)-OFFSET(S$16,MATCH(S58,S$17:S$34,1),))))</f>
        <v>#VALUE!</v>
      </c>
      <c r="U58" s="103" t="e">
        <f t="shared" ref="U58:U68" si="26">U43</f>
        <v>#VALUE!</v>
      </c>
      <c r="V58" s="105" t="e">
        <f ca="1">IF(OR(U$17="",U$18&gt;U43),"",OFFSET($B$16,MATCH(U58,U$17:U$34,1),_xludf.IFS(U$15="Teste de Esteira Progressiva",1,U$15="Teste Bicicleta ergométrica Balke",2))+((U58-OFFSET(U$16,MATCH(U58,U$17:U$34,1),))/(OFFSET(U$16,MATCH(U58,U$17:U$34,1)+1,)-OFFSET(U$16,MATCH(U58,U$17:U$34,1),))))</f>
        <v>#VALUE!</v>
      </c>
      <c r="W58" s="103" t="e">
        <f t="shared" ref="W58:W68" si="27">W43</f>
        <v>#VALUE!</v>
      </c>
      <c r="X58" s="105" t="e">
        <f ca="1">IF(OR(W$17="",W$18&gt;W43),"",OFFSET($B$16,MATCH(W58,W$17:W$34,1),_xludf.IFS(W$15="Teste de Esteira Progressiva",1,W$15="Teste Bicicleta ergométrica Balke",2))+((W58-OFFSET(W$16,MATCH(W58,W$17:W$34,1),))/(OFFSET(W$16,MATCH(W58,W$17:W$34,1)+1,)-OFFSET(W$16,MATCH(W58,W$17:W$34,1),))))</f>
        <v>#VALUE!</v>
      </c>
      <c r="Y58" s="103" t="e">
        <f t="shared" ref="Y58:Y68" si="28">Y43</f>
        <v>#VALUE!</v>
      </c>
      <c r="Z58" s="105" t="e">
        <f ca="1">IF(OR(Y$17="",Y$18&gt;Y43),"",OFFSET($B$16,MATCH(Y58,Y$17:Y$34,1),_xludf.IFS(Y$15="Teste de Esteira Progressiva",1,Y$15="Teste Bicicleta ergométrica Balke",2))+((Y58-OFFSET(Y$16,MATCH(Y58,Y$17:Y$34,1),))/(OFFSET(Y$16,MATCH(Y58,Y$17:Y$34,1)+1,)-OFFSET(Y$16,MATCH(Y58,Y$17:Y$34,1),))))</f>
        <v>#VALUE!</v>
      </c>
      <c r="AA58" s="103" t="e">
        <f t="shared" ref="AA58:AA68" si="29">AA43</f>
        <v>#VALUE!</v>
      </c>
      <c r="AB58" s="105" t="e">
        <f ca="1">IF(OR(AA$17="",AA$18&gt;AA43),"",OFFSET($B$16,MATCH(AA58,AA$17:AA$34,1),_xludf.IFS(AA$15="Teste de Esteira Progressiva",1,AA$15="Teste Bicicleta ergométrica Balke",2))+((AA58-OFFSET(AA$16,MATCH(AA58,AA$17:AA$34,1),))/(OFFSET(AA$16,MATCH(AA58,AA$17:AA$34,1)+1,)-OFFSET(AA$16,MATCH(AA58,AA$17:AA$34,1),))))</f>
        <v>#VALUE!</v>
      </c>
      <c r="AC58" s="103" t="e">
        <f t="shared" ref="AC58:AC68" si="30">AC43</f>
        <v>#VALUE!</v>
      </c>
      <c r="AD58" s="105" t="e">
        <f ca="1">IF(OR(AC$17="",AC$18&gt;AC43),"",OFFSET($B$16,MATCH(AC58,AC$17:AC$34,1),_xludf.IFS(AC$15="Teste de Esteira Progressiva",1,AC$15="Teste Bicicleta ergométrica Balke",2))+((AC58-OFFSET(AC$16,MATCH(AC58,AC$17:AC$34,1),))/(OFFSET(AC$16,MATCH(AC58,AC$17:AC$34,1)+1,)-OFFSET(AC$16,MATCH(AC58,AC$17:AC$34,1),))))</f>
        <v>#VALUE!</v>
      </c>
      <c r="AE58" s="103" t="e">
        <f t="shared" ref="AE58:AE68" si="31">AE43</f>
        <v>#VALUE!</v>
      </c>
      <c r="AF58" s="105" t="e">
        <f ca="1">IF(OR(AE$17="",AE$18&gt;AE43),"",OFFSET($B$16,MATCH(AE58,AE$17:AE$34,1),_xludf.IFS(AE$15="Teste de Esteira Progressiva",1,AE$15="Teste Bicicleta ergométrica Balke",2))+((AE58-OFFSET(AE$16,MATCH(AE58,AE$17:AE$34,1),))/(OFFSET(AE$16,MATCH(AE58,AE$17:AE$34,1)+1,)-OFFSET(AE$16,MATCH(AE58,AE$17:AE$34,1),))))</f>
        <v>#VALUE!</v>
      </c>
      <c r="AG58" s="103" t="e">
        <f t="shared" ref="AG58:AG68" si="32">AG43</f>
        <v>#VALUE!</v>
      </c>
      <c r="AH58" s="105" t="e">
        <f ca="1">IF(OR(AG$17="",AG$18&gt;AG43),"",OFFSET($B$16,MATCH(AG58,AG$17:AG$34,1),_xludf.IFS(AG$15="Teste de Esteira Progressiva",1,AG$15="Teste Bicicleta ergométrica Balke",2))+((AG58-OFFSET(AG$16,MATCH(AG58,AG$17:AG$34,1),))/(OFFSET(AG$16,MATCH(AG58,AG$17:AG$34,1)+1,)-OFFSET(AG$16,MATCH(AG58,AG$17:AG$34,1),))))</f>
        <v>#VALUE!</v>
      </c>
    </row>
    <row r="59" spans="1:34" ht="12.75">
      <c r="C59" s="294"/>
      <c r="D59" s="102">
        <v>0.55000000000000004</v>
      </c>
      <c r="E59" s="103">
        <f t="shared" si="18"/>
        <v>105.5</v>
      </c>
      <c r="F59" s="105" t="e">
        <f t="shared" ref="F59:F68" ca="1" si="33">IF(E$17="","",OFFSET($B$16,MATCH(E59,E$17:E$34,1),_xludf.IFS(E$15="Teste de Esteira Progressiva",1,E$15="Teste Bicicleta ergométrica Balke",2))+((E59-OFFSET(E$16,MATCH(E59,E$17:E$34,1),))/(OFFSET(E$16,MATCH(E59,E$17:E$34,1)+1,)-OFFSET(E$16,MATCH(E59,E$17:E$34,1),))))</f>
        <v>#NAME?</v>
      </c>
      <c r="G59" s="103">
        <f t="shared" si="19"/>
        <v>117.2</v>
      </c>
      <c r="H59" s="105" t="e">
        <f t="shared" ref="H59:H68" ca="1" si="34">IF(G$17="","",OFFSET($B$16,MATCH(G59,G$17:G$34,1),_xludf.IFS(G$15="Teste de Esteira Progressiva",1,G$15="Teste Bicicleta ergométrica Balke",2))+((G59-OFFSET(G$16,MATCH(G59,G$17:G$34,1),))/(OFFSET(G$16,MATCH(G59,G$17:G$34,1)+1,)-OFFSET(G$16,MATCH(G59,G$17:G$34,1),))))</f>
        <v>#NAME?</v>
      </c>
      <c r="I59" s="103">
        <f t="shared" si="20"/>
        <v>113.9</v>
      </c>
      <c r="J59" s="105" t="e">
        <f t="shared" ref="J59:J68" ca="1" si="35">IF(I$17="","",OFFSET($B$16,MATCH(I59,I$17:I$34,1),_xludf.IFS(I$15="Teste de Esteira Progressiva",1,I$15="Teste Bicicleta ergométrica Balke",2))+((I59-OFFSET(I$16,MATCH(I59,I$17:I$34,1),))/(OFFSET(I$16,MATCH(I59,I$17:I$34,1)+1,)-OFFSET(I$16,MATCH(I59,I$17:I$34,1),))))</f>
        <v>#NAME?</v>
      </c>
      <c r="K59" s="103">
        <f t="shared" si="21"/>
        <v>117.9</v>
      </c>
      <c r="L59" s="105" t="e">
        <f t="shared" ref="L59:L68" ca="1" si="36">IF(K$17="","",OFFSET($B$16,MATCH(K59,K$17:K$34,1),_xludf.IFS(K$15="Teste de Esteira Progressiva",1,K$15="Teste Bicicleta ergométrica Balke",2))+((K59-OFFSET(K$16,MATCH(K59,K$17:K$34,1),))/(OFFSET(K$16,MATCH(K59,K$17:K$34,1)+1,)-OFFSET(K$16,MATCH(K59,K$17:K$34,1),))))</f>
        <v>#NAME?</v>
      </c>
      <c r="M59" s="103">
        <f t="shared" si="22"/>
        <v>113.4</v>
      </c>
      <c r="N59" s="105" t="e">
        <f t="shared" ref="N59:N68" ca="1" si="37">IF(M$17="","",OFFSET($B$16,MATCH(M59,M$17:M$34,1),_xludf.IFS(M$15="Teste de Esteira Progressiva",1,M$15="Teste Bicicleta ergométrica Balke",2))+((M59-OFFSET(M$16,MATCH(M59,M$17:M$34,1),))/(OFFSET(M$16,MATCH(M59,M$17:M$34,1)+1,)-OFFSET(M$16,MATCH(M59,M$17:M$34,1),))))</f>
        <v>#NAME?</v>
      </c>
      <c r="O59" s="103">
        <f t="shared" si="23"/>
        <v>104.65</v>
      </c>
      <c r="P59" s="105" t="e">
        <f t="shared" ref="P59:P68" ca="1" si="38">IF(O$17="","",OFFSET($B$16,MATCH(O59,O$17:O$34,1),_xludf.IFS(O$15="Teste de Esteira Progressiva",1,O$15="Teste Bicicleta ergométrica Balke",2))+((O59-OFFSET(O$16,MATCH(O59,O$17:O$34,1),))/(OFFSET(O$16,MATCH(O59,O$17:O$34,1)+1,)-OFFSET(O$16,MATCH(O59,O$17:O$34,1),))))</f>
        <v>#NAME?</v>
      </c>
      <c r="Q59" s="103">
        <f t="shared" si="24"/>
        <v>106.55000000000001</v>
      </c>
      <c r="R59" s="105" t="e">
        <f t="shared" ref="R59:R61" ca="1" si="39">IF(Q$17="","",OFFSET($B$16,MATCH(Q59,Q$17:Q$34,1),_xludf.IFS(Q$15="Teste de Esteira Progressiva",1,Q$15="Teste Bicicleta ergométrica Balke",2))+((Q59-OFFSET(Q$16,MATCH(Q59,Q$17:Q$34,1),))/(OFFSET(Q$16,MATCH(Q59,Q$17:Q$34,1)+1,)-OFFSET(Q$16,MATCH(Q59,Q$17:Q$34,1),))))</f>
        <v>#NAME?</v>
      </c>
      <c r="S59" s="103" t="e">
        <f t="shared" si="25"/>
        <v>#VALUE!</v>
      </c>
      <c r="T59" s="105" t="str">
        <f t="shared" ref="T59:T68" ca="1" si="40">IF(S$17="","",OFFSET($B$16,MATCH(S59,S$17:S$34,1),_xludf.IFS(S$15="Teste de Esteira Progressiva",1,S$15="Teste Bicicleta ergométrica Balke",2))+((S59-OFFSET(S$16,MATCH(S59,S$17:S$34,1),))/(OFFSET(S$16,MATCH(S59,S$17:S$34,1)+1,)-OFFSET(S$16,MATCH(S59,S$17:S$34,1),))))</f>
        <v/>
      </c>
      <c r="U59" s="103" t="e">
        <f t="shared" si="26"/>
        <v>#VALUE!</v>
      </c>
      <c r="V59" s="105" t="str">
        <f t="shared" ref="V59:V68" ca="1" si="41">IF(U$17="","",OFFSET($B$16,MATCH(U59,U$17:U$34,1),_xludf.IFS(U$15="Teste de Esteira Progressiva",1,U$15="Teste Bicicleta ergométrica Balke",2))+((U59-OFFSET(U$16,MATCH(U59,U$17:U$34,1),))/(OFFSET(U$16,MATCH(U59,U$17:U$34,1)+1,)-OFFSET(U$16,MATCH(U59,U$17:U$34,1),))))</f>
        <v/>
      </c>
      <c r="W59" s="103" t="e">
        <f t="shared" si="27"/>
        <v>#VALUE!</v>
      </c>
      <c r="X59" s="105" t="str">
        <f t="shared" ref="X59:X68" ca="1" si="42">IF(W$17="","",OFFSET($B$16,MATCH(W59,W$17:W$34,1),_xludf.IFS(W$15="Teste de Esteira Progressiva",1,W$15="Teste Bicicleta ergométrica Balke",2))+((W59-OFFSET(W$16,MATCH(W59,W$17:W$34,1),))/(OFFSET(W$16,MATCH(W59,W$17:W$34,1)+1,)-OFFSET(W$16,MATCH(W59,W$17:W$34,1),))))</f>
        <v/>
      </c>
      <c r="Y59" s="103" t="e">
        <f t="shared" si="28"/>
        <v>#VALUE!</v>
      </c>
      <c r="Z59" s="105" t="str">
        <f t="shared" ref="Z59:Z68" ca="1" si="43">IF(Y$17="","",OFFSET($B$16,MATCH(Y59,Y$17:Y$34,1),_xludf.IFS(Y$15="Teste de Esteira Progressiva",1,Y$15="Teste Bicicleta ergométrica Balke",2))+((Y59-OFFSET(Y$16,MATCH(Y59,Y$17:Y$34,1),))/(OFFSET(Y$16,MATCH(Y59,Y$17:Y$34,1)+1,)-OFFSET(Y$16,MATCH(Y59,Y$17:Y$34,1),))))</f>
        <v/>
      </c>
      <c r="AA59" s="103" t="e">
        <f t="shared" si="29"/>
        <v>#VALUE!</v>
      </c>
      <c r="AB59" s="105" t="str">
        <f t="shared" ref="AB59:AB68" ca="1" si="44">IF(AA$17="","",OFFSET($B$16,MATCH(AA59,AA$17:AA$34,1),_xludf.IFS(AA$15="Teste de Esteira Progressiva",1,AA$15="Teste Bicicleta ergométrica Balke",2))+((AA59-OFFSET(AA$16,MATCH(AA59,AA$17:AA$34,1),))/(OFFSET(AA$16,MATCH(AA59,AA$17:AA$34,1)+1,)-OFFSET(AA$16,MATCH(AA59,AA$17:AA$34,1),))))</f>
        <v/>
      </c>
      <c r="AC59" s="103" t="e">
        <f t="shared" si="30"/>
        <v>#VALUE!</v>
      </c>
      <c r="AD59" s="105" t="str">
        <f t="shared" ref="AD59:AD68" ca="1" si="45">IF(AC$17="","",OFFSET($B$16,MATCH(AC59,AC$17:AC$34,1),_xludf.IFS(AC$15="Teste de Esteira Progressiva",1,AC$15="Teste Bicicleta ergométrica Balke",2))+((AC59-OFFSET(AC$16,MATCH(AC59,AC$17:AC$34,1),))/(OFFSET(AC$16,MATCH(AC59,AC$17:AC$34,1)+1,)-OFFSET(AC$16,MATCH(AC59,AC$17:AC$34,1),))))</f>
        <v/>
      </c>
      <c r="AE59" s="103" t="e">
        <f t="shared" si="31"/>
        <v>#VALUE!</v>
      </c>
      <c r="AF59" s="105" t="str">
        <f t="shared" ref="AF59:AF68" ca="1" si="46">IF(AE$17="","",OFFSET($B$16,MATCH(AE59,AE$17:AE$34,1),_xludf.IFS(AE$15="Teste de Esteira Progressiva",1,AE$15="Teste Bicicleta ergométrica Balke",2))+((AE59-OFFSET(AE$16,MATCH(AE59,AE$17:AE$34,1),))/(OFFSET(AE$16,MATCH(AE59,AE$17:AE$34,1)+1,)-OFFSET(AE$16,MATCH(AE59,AE$17:AE$34,1),))))</f>
        <v/>
      </c>
      <c r="AG59" s="103" t="e">
        <f t="shared" si="32"/>
        <v>#VALUE!</v>
      </c>
      <c r="AH59" s="105" t="str">
        <f t="shared" ref="AH59:AH68" ca="1" si="47">IF(AG$17="","",OFFSET($B$16,MATCH(AG59,AG$17:AG$34,1),_xludf.IFS(AG$15="Teste de Esteira Progressiva",1,AG$15="Teste Bicicleta ergométrica Balke",2))+((AG59-OFFSET(AG$16,MATCH(AG59,AG$17:AG$34,1),))/(OFFSET(AG$16,MATCH(AG59,AG$17:AG$34,1)+1,)-OFFSET(AG$16,MATCH(AG59,AG$17:AG$34,1),))))</f>
        <v/>
      </c>
    </row>
    <row r="60" spans="1:34" ht="12.75">
      <c r="C60" s="294"/>
      <c r="D60" s="102">
        <v>0.6</v>
      </c>
      <c r="E60" s="103">
        <f t="shared" si="18"/>
        <v>111</v>
      </c>
      <c r="F60" s="105" t="e">
        <f t="shared" ca="1" si="33"/>
        <v>#NAME?</v>
      </c>
      <c r="G60" s="103">
        <f t="shared" si="19"/>
        <v>122.4</v>
      </c>
      <c r="H60" s="105" t="e">
        <f t="shared" ca="1" si="34"/>
        <v>#NAME?</v>
      </c>
      <c r="I60" s="103">
        <f t="shared" si="20"/>
        <v>118.8</v>
      </c>
      <c r="J60" s="105" t="e">
        <f t="shared" ca="1" si="35"/>
        <v>#NAME?</v>
      </c>
      <c r="K60" s="103">
        <f t="shared" si="21"/>
        <v>122.8</v>
      </c>
      <c r="L60" s="105" t="e">
        <f t="shared" ca="1" si="36"/>
        <v>#NAME?</v>
      </c>
      <c r="M60" s="103">
        <f t="shared" si="22"/>
        <v>118.8</v>
      </c>
      <c r="N60" s="105" t="e">
        <f t="shared" ca="1" si="37"/>
        <v>#NAME?</v>
      </c>
      <c r="O60" s="103">
        <f t="shared" si="23"/>
        <v>109.8</v>
      </c>
      <c r="P60" s="105" t="e">
        <f t="shared" ca="1" si="38"/>
        <v>#NAME?</v>
      </c>
      <c r="Q60" s="103">
        <f t="shared" si="24"/>
        <v>111.6</v>
      </c>
      <c r="R60" s="105" t="e">
        <f t="shared" ca="1" si="39"/>
        <v>#NAME?</v>
      </c>
      <c r="S60" s="103" t="e">
        <f t="shared" si="25"/>
        <v>#VALUE!</v>
      </c>
      <c r="T60" s="105" t="str">
        <f t="shared" ca="1" si="40"/>
        <v/>
      </c>
      <c r="U60" s="103" t="e">
        <f t="shared" si="26"/>
        <v>#VALUE!</v>
      </c>
      <c r="V60" s="105" t="str">
        <f t="shared" ca="1" si="41"/>
        <v/>
      </c>
      <c r="W60" s="103" t="e">
        <f t="shared" si="27"/>
        <v>#VALUE!</v>
      </c>
      <c r="X60" s="105" t="str">
        <f t="shared" ca="1" si="42"/>
        <v/>
      </c>
      <c r="Y60" s="103" t="e">
        <f t="shared" si="28"/>
        <v>#VALUE!</v>
      </c>
      <c r="Z60" s="105" t="str">
        <f t="shared" ca="1" si="43"/>
        <v/>
      </c>
      <c r="AA60" s="103" t="e">
        <f t="shared" si="29"/>
        <v>#VALUE!</v>
      </c>
      <c r="AB60" s="105" t="str">
        <f t="shared" ca="1" si="44"/>
        <v/>
      </c>
      <c r="AC60" s="103" t="e">
        <f t="shared" si="30"/>
        <v>#VALUE!</v>
      </c>
      <c r="AD60" s="105" t="str">
        <f t="shared" ca="1" si="45"/>
        <v/>
      </c>
      <c r="AE60" s="103" t="e">
        <f t="shared" si="31"/>
        <v>#VALUE!</v>
      </c>
      <c r="AF60" s="105" t="str">
        <f t="shared" ca="1" si="46"/>
        <v/>
      </c>
      <c r="AG60" s="103" t="e">
        <f t="shared" si="32"/>
        <v>#VALUE!</v>
      </c>
      <c r="AH60" s="105" t="str">
        <f t="shared" ca="1" si="47"/>
        <v/>
      </c>
    </row>
    <row r="61" spans="1:34" ht="12.75">
      <c r="C61" s="294"/>
      <c r="D61" s="102">
        <v>0.65</v>
      </c>
      <c r="E61" s="103">
        <f t="shared" si="18"/>
        <v>116.5</v>
      </c>
      <c r="F61" s="105" t="e">
        <f t="shared" ca="1" si="33"/>
        <v>#NAME?</v>
      </c>
      <c r="G61" s="103">
        <f t="shared" si="19"/>
        <v>127.60000000000001</v>
      </c>
      <c r="H61" s="105" t="e">
        <f t="shared" ca="1" si="34"/>
        <v>#NAME?</v>
      </c>
      <c r="I61" s="103">
        <f t="shared" si="20"/>
        <v>123.7</v>
      </c>
      <c r="J61" s="105" t="e">
        <f t="shared" ca="1" si="35"/>
        <v>#NAME?</v>
      </c>
      <c r="K61" s="103">
        <f t="shared" si="21"/>
        <v>127.7</v>
      </c>
      <c r="L61" s="105" t="e">
        <f t="shared" ca="1" si="36"/>
        <v>#NAME?</v>
      </c>
      <c r="M61" s="103">
        <f t="shared" si="22"/>
        <v>124.2</v>
      </c>
      <c r="N61" s="105" t="e">
        <f t="shared" ca="1" si="37"/>
        <v>#NAME?</v>
      </c>
      <c r="O61" s="103">
        <f t="shared" si="23"/>
        <v>114.95</v>
      </c>
      <c r="P61" s="105" t="e">
        <f t="shared" ca="1" si="38"/>
        <v>#NAME?</v>
      </c>
      <c r="Q61" s="103">
        <f t="shared" si="24"/>
        <v>116.65</v>
      </c>
      <c r="R61" s="105" t="e">
        <f t="shared" ca="1" si="39"/>
        <v>#NAME?</v>
      </c>
      <c r="S61" s="103" t="e">
        <f t="shared" si="25"/>
        <v>#VALUE!</v>
      </c>
      <c r="T61" s="105" t="str">
        <f t="shared" ca="1" si="40"/>
        <v/>
      </c>
      <c r="U61" s="103" t="e">
        <f t="shared" si="26"/>
        <v>#VALUE!</v>
      </c>
      <c r="V61" s="105" t="str">
        <f t="shared" ca="1" si="41"/>
        <v/>
      </c>
      <c r="W61" s="103" t="e">
        <f t="shared" si="27"/>
        <v>#VALUE!</v>
      </c>
      <c r="X61" s="105" t="str">
        <f t="shared" ca="1" si="42"/>
        <v/>
      </c>
      <c r="Y61" s="103" t="e">
        <f t="shared" si="28"/>
        <v>#VALUE!</v>
      </c>
      <c r="Z61" s="105" t="str">
        <f t="shared" ca="1" si="43"/>
        <v/>
      </c>
      <c r="AA61" s="103" t="e">
        <f t="shared" si="29"/>
        <v>#VALUE!</v>
      </c>
      <c r="AB61" s="105" t="str">
        <f t="shared" ca="1" si="44"/>
        <v/>
      </c>
      <c r="AC61" s="103" t="e">
        <f t="shared" si="30"/>
        <v>#VALUE!</v>
      </c>
      <c r="AD61" s="105" t="str">
        <f t="shared" ca="1" si="45"/>
        <v/>
      </c>
      <c r="AE61" s="103" t="e">
        <f t="shared" si="31"/>
        <v>#VALUE!</v>
      </c>
      <c r="AF61" s="105" t="str">
        <f t="shared" ca="1" si="46"/>
        <v/>
      </c>
      <c r="AG61" s="103" t="e">
        <f t="shared" si="32"/>
        <v>#VALUE!</v>
      </c>
      <c r="AH61" s="105" t="str">
        <f t="shared" ca="1" si="47"/>
        <v/>
      </c>
    </row>
    <row r="62" spans="1:34" ht="12.75">
      <c r="C62" s="294"/>
      <c r="D62" s="102">
        <v>0.7</v>
      </c>
      <c r="E62" s="103">
        <f t="shared" si="18"/>
        <v>122</v>
      </c>
      <c r="F62" s="105" t="e">
        <f t="shared" ca="1" si="33"/>
        <v>#NAME?</v>
      </c>
      <c r="G62" s="103">
        <f t="shared" si="19"/>
        <v>132.80000000000001</v>
      </c>
      <c r="H62" s="105" t="e">
        <f t="shared" ca="1" si="34"/>
        <v>#NAME?</v>
      </c>
      <c r="I62" s="103">
        <f t="shared" si="20"/>
        <v>128.6</v>
      </c>
      <c r="J62" s="105" t="e">
        <f t="shared" ca="1" si="35"/>
        <v>#NAME?</v>
      </c>
      <c r="K62" s="103">
        <f t="shared" si="21"/>
        <v>132.6</v>
      </c>
      <c r="L62" s="105" t="e">
        <f t="shared" ca="1" si="36"/>
        <v>#NAME?</v>
      </c>
      <c r="M62" s="103">
        <f t="shared" si="22"/>
        <v>129.6</v>
      </c>
      <c r="N62" s="105" t="e">
        <f t="shared" ca="1" si="37"/>
        <v>#NAME?</v>
      </c>
      <c r="O62" s="103">
        <f t="shared" si="23"/>
        <v>120.1</v>
      </c>
      <c r="P62" s="105" t="e">
        <f t="shared" ca="1" si="38"/>
        <v>#NAME?</v>
      </c>
      <c r="Q62" s="103">
        <f t="shared" si="24"/>
        <v>121.69999999999999</v>
      </c>
      <c r="R62" s="105">
        <f>42/5</f>
        <v>8.4</v>
      </c>
      <c r="S62" s="103" t="e">
        <f t="shared" si="25"/>
        <v>#VALUE!</v>
      </c>
      <c r="T62" s="105" t="str">
        <f t="shared" ca="1" si="40"/>
        <v/>
      </c>
      <c r="U62" s="103" t="e">
        <f t="shared" si="26"/>
        <v>#VALUE!</v>
      </c>
      <c r="V62" s="105" t="str">
        <f t="shared" ca="1" si="41"/>
        <v/>
      </c>
      <c r="W62" s="103" t="e">
        <f t="shared" si="27"/>
        <v>#VALUE!</v>
      </c>
      <c r="X62" s="105" t="str">
        <f t="shared" ca="1" si="42"/>
        <v/>
      </c>
      <c r="Y62" s="103" t="e">
        <f t="shared" si="28"/>
        <v>#VALUE!</v>
      </c>
      <c r="Z62" s="105" t="str">
        <f t="shared" ca="1" si="43"/>
        <v/>
      </c>
      <c r="AA62" s="103" t="e">
        <f t="shared" si="29"/>
        <v>#VALUE!</v>
      </c>
      <c r="AB62" s="105" t="str">
        <f t="shared" ca="1" si="44"/>
        <v/>
      </c>
      <c r="AC62" s="103" t="e">
        <f t="shared" si="30"/>
        <v>#VALUE!</v>
      </c>
      <c r="AD62" s="105" t="str">
        <f t="shared" ca="1" si="45"/>
        <v/>
      </c>
      <c r="AE62" s="103" t="e">
        <f t="shared" si="31"/>
        <v>#VALUE!</v>
      </c>
      <c r="AF62" s="105" t="str">
        <f t="shared" ca="1" si="46"/>
        <v/>
      </c>
      <c r="AG62" s="103" t="e">
        <f t="shared" si="32"/>
        <v>#VALUE!</v>
      </c>
      <c r="AH62" s="105" t="str">
        <f t="shared" ca="1" si="47"/>
        <v/>
      </c>
    </row>
    <row r="63" spans="1:34" ht="12.75">
      <c r="C63" s="294"/>
      <c r="D63" s="102">
        <v>0.75</v>
      </c>
      <c r="E63" s="103">
        <f t="shared" si="18"/>
        <v>127.5</v>
      </c>
      <c r="F63" s="105" t="e">
        <f t="shared" ca="1" si="33"/>
        <v>#NAME?</v>
      </c>
      <c r="G63" s="103">
        <f t="shared" si="19"/>
        <v>138</v>
      </c>
      <c r="H63" s="105" t="e">
        <f t="shared" ca="1" si="34"/>
        <v>#NAME?</v>
      </c>
      <c r="I63" s="103">
        <f t="shared" si="20"/>
        <v>133.5</v>
      </c>
      <c r="J63" s="105" t="e">
        <f t="shared" ca="1" si="35"/>
        <v>#NAME?</v>
      </c>
      <c r="K63" s="103">
        <f t="shared" si="21"/>
        <v>137.5</v>
      </c>
      <c r="L63" s="105" t="e">
        <f t="shared" ca="1" si="36"/>
        <v>#NAME?</v>
      </c>
      <c r="M63" s="103">
        <f t="shared" si="22"/>
        <v>135</v>
      </c>
      <c r="N63" s="105" t="e">
        <f t="shared" ca="1" si="37"/>
        <v>#NAME?</v>
      </c>
      <c r="O63" s="103">
        <f t="shared" si="23"/>
        <v>125.25</v>
      </c>
      <c r="P63" s="105" t="e">
        <f t="shared" ca="1" si="38"/>
        <v>#NAME?</v>
      </c>
      <c r="Q63" s="103">
        <f t="shared" si="24"/>
        <v>126.75</v>
      </c>
      <c r="R63" s="105" t="e">
        <f t="shared" ref="R63:R68" ca="1" si="48">IF(Q$17="","",OFFSET($B$16,MATCH(Q63,Q$17:Q$34,1),_xludf.IFS(Q$15="Teste de Esteira Progressiva",1,Q$15="Teste Bicicleta ergométrica Balke",2))+((Q63-OFFSET(Q$16,MATCH(Q63,Q$17:Q$34,1),))/(OFFSET(Q$16,MATCH(Q63,Q$17:Q$34,1)+1,)-OFFSET(Q$16,MATCH(Q63,Q$17:Q$34,1),))))</f>
        <v>#NAME?</v>
      </c>
      <c r="S63" s="103" t="e">
        <f t="shared" si="25"/>
        <v>#VALUE!</v>
      </c>
      <c r="T63" s="105" t="str">
        <f t="shared" ca="1" si="40"/>
        <v/>
      </c>
      <c r="U63" s="103" t="e">
        <f t="shared" si="26"/>
        <v>#VALUE!</v>
      </c>
      <c r="V63" s="105" t="str">
        <f t="shared" ca="1" si="41"/>
        <v/>
      </c>
      <c r="W63" s="103" t="e">
        <f t="shared" si="27"/>
        <v>#VALUE!</v>
      </c>
      <c r="X63" s="105" t="str">
        <f t="shared" ca="1" si="42"/>
        <v/>
      </c>
      <c r="Y63" s="103" t="e">
        <f t="shared" si="28"/>
        <v>#VALUE!</v>
      </c>
      <c r="Z63" s="105" t="str">
        <f t="shared" ca="1" si="43"/>
        <v/>
      </c>
      <c r="AA63" s="103" t="e">
        <f t="shared" si="29"/>
        <v>#VALUE!</v>
      </c>
      <c r="AB63" s="105" t="str">
        <f t="shared" ca="1" si="44"/>
        <v/>
      </c>
      <c r="AC63" s="103" t="e">
        <f t="shared" si="30"/>
        <v>#VALUE!</v>
      </c>
      <c r="AD63" s="105" t="str">
        <f t="shared" ca="1" si="45"/>
        <v/>
      </c>
      <c r="AE63" s="103" t="e">
        <f t="shared" si="31"/>
        <v>#VALUE!</v>
      </c>
      <c r="AF63" s="105" t="str">
        <f t="shared" ca="1" si="46"/>
        <v/>
      </c>
      <c r="AG63" s="103" t="e">
        <f t="shared" si="32"/>
        <v>#VALUE!</v>
      </c>
      <c r="AH63" s="105" t="str">
        <f t="shared" ca="1" si="47"/>
        <v/>
      </c>
    </row>
    <row r="64" spans="1:34" ht="12.75">
      <c r="A64" s="41"/>
      <c r="B64" s="41"/>
      <c r="C64" s="294"/>
      <c r="D64" s="102">
        <v>0.8</v>
      </c>
      <c r="E64" s="103">
        <f t="shared" si="18"/>
        <v>133</v>
      </c>
      <c r="F64" s="105" t="e">
        <f t="shared" ca="1" si="33"/>
        <v>#NAME?</v>
      </c>
      <c r="G64" s="103">
        <f t="shared" si="19"/>
        <v>143.19999999999999</v>
      </c>
      <c r="H64" s="105" t="e">
        <f t="shared" ca="1" si="34"/>
        <v>#NAME?</v>
      </c>
      <c r="I64" s="103">
        <f t="shared" si="20"/>
        <v>138.4</v>
      </c>
      <c r="J64" s="105" t="e">
        <f t="shared" ca="1" si="35"/>
        <v>#NAME?</v>
      </c>
      <c r="K64" s="103">
        <f t="shared" si="21"/>
        <v>142.4</v>
      </c>
      <c r="L64" s="105" t="e">
        <f t="shared" ca="1" si="36"/>
        <v>#NAME?</v>
      </c>
      <c r="M64" s="103">
        <f t="shared" si="22"/>
        <v>140.4</v>
      </c>
      <c r="N64" s="105" t="e">
        <f t="shared" ca="1" si="37"/>
        <v>#NAME?</v>
      </c>
      <c r="O64" s="103">
        <f t="shared" si="23"/>
        <v>130.4</v>
      </c>
      <c r="P64" s="105" t="e">
        <f t="shared" ca="1" si="38"/>
        <v>#NAME?</v>
      </c>
      <c r="Q64" s="103">
        <f t="shared" si="24"/>
        <v>131.80000000000001</v>
      </c>
      <c r="R64" s="105" t="e">
        <f t="shared" ca="1" si="48"/>
        <v>#NAME?</v>
      </c>
      <c r="S64" s="103" t="e">
        <f t="shared" si="25"/>
        <v>#VALUE!</v>
      </c>
      <c r="T64" s="105" t="str">
        <f t="shared" ca="1" si="40"/>
        <v/>
      </c>
      <c r="U64" s="103" t="e">
        <f t="shared" si="26"/>
        <v>#VALUE!</v>
      </c>
      <c r="V64" s="105" t="str">
        <f t="shared" ca="1" si="41"/>
        <v/>
      </c>
      <c r="W64" s="103" t="e">
        <f t="shared" si="27"/>
        <v>#VALUE!</v>
      </c>
      <c r="X64" s="105" t="str">
        <f t="shared" ca="1" si="42"/>
        <v/>
      </c>
      <c r="Y64" s="103" t="e">
        <f t="shared" si="28"/>
        <v>#VALUE!</v>
      </c>
      <c r="Z64" s="105" t="str">
        <f t="shared" ca="1" si="43"/>
        <v/>
      </c>
      <c r="AA64" s="103" t="e">
        <f t="shared" si="29"/>
        <v>#VALUE!</v>
      </c>
      <c r="AB64" s="105" t="str">
        <f t="shared" ca="1" si="44"/>
        <v/>
      </c>
      <c r="AC64" s="103" t="e">
        <f t="shared" si="30"/>
        <v>#VALUE!</v>
      </c>
      <c r="AD64" s="105" t="str">
        <f t="shared" ca="1" si="45"/>
        <v/>
      </c>
      <c r="AE64" s="103" t="e">
        <f t="shared" si="31"/>
        <v>#VALUE!</v>
      </c>
      <c r="AF64" s="105" t="str">
        <f t="shared" ca="1" si="46"/>
        <v/>
      </c>
      <c r="AG64" s="103" t="e">
        <f t="shared" si="32"/>
        <v>#VALUE!</v>
      </c>
      <c r="AH64" s="105" t="str">
        <f t="shared" ca="1" si="47"/>
        <v/>
      </c>
    </row>
    <row r="65" spans="1:34" ht="12.75">
      <c r="A65" s="41"/>
      <c r="B65" s="41"/>
      <c r="C65" s="294"/>
      <c r="D65" s="102">
        <v>0.85</v>
      </c>
      <c r="E65" s="103">
        <f t="shared" si="18"/>
        <v>138.5</v>
      </c>
      <c r="F65" s="105" t="e">
        <f t="shared" ca="1" si="33"/>
        <v>#NAME?</v>
      </c>
      <c r="G65" s="103">
        <f t="shared" si="19"/>
        <v>148.39999999999998</v>
      </c>
      <c r="H65" s="105" t="e">
        <f t="shared" ca="1" si="34"/>
        <v>#NAME?</v>
      </c>
      <c r="I65" s="103">
        <f t="shared" si="20"/>
        <v>143.30000000000001</v>
      </c>
      <c r="J65" s="105" t="e">
        <f t="shared" ca="1" si="35"/>
        <v>#NAME?</v>
      </c>
      <c r="K65" s="103">
        <f t="shared" si="21"/>
        <v>147.30000000000001</v>
      </c>
      <c r="L65" s="105" t="e">
        <f t="shared" ca="1" si="36"/>
        <v>#NAME?</v>
      </c>
      <c r="M65" s="103">
        <f t="shared" si="22"/>
        <v>145.80000000000001</v>
      </c>
      <c r="N65" s="105" t="e">
        <f t="shared" ca="1" si="37"/>
        <v>#NAME?</v>
      </c>
      <c r="O65" s="103">
        <f t="shared" si="23"/>
        <v>135.55000000000001</v>
      </c>
      <c r="P65" s="105" t="e">
        <f t="shared" ca="1" si="38"/>
        <v>#NAME?</v>
      </c>
      <c r="Q65" s="103">
        <f t="shared" si="24"/>
        <v>136.85</v>
      </c>
      <c r="R65" s="105" t="e">
        <f t="shared" ca="1" si="48"/>
        <v>#NAME?</v>
      </c>
      <c r="S65" s="103" t="e">
        <f t="shared" si="25"/>
        <v>#VALUE!</v>
      </c>
      <c r="T65" s="105" t="str">
        <f t="shared" ca="1" si="40"/>
        <v/>
      </c>
      <c r="U65" s="103" t="e">
        <f t="shared" si="26"/>
        <v>#VALUE!</v>
      </c>
      <c r="V65" s="105" t="str">
        <f t="shared" ca="1" si="41"/>
        <v/>
      </c>
      <c r="W65" s="103" t="e">
        <f t="shared" si="27"/>
        <v>#VALUE!</v>
      </c>
      <c r="X65" s="105" t="str">
        <f t="shared" ca="1" si="42"/>
        <v/>
      </c>
      <c r="Y65" s="103" t="e">
        <f t="shared" si="28"/>
        <v>#VALUE!</v>
      </c>
      <c r="Z65" s="105" t="str">
        <f t="shared" ca="1" si="43"/>
        <v/>
      </c>
      <c r="AA65" s="103" t="e">
        <f t="shared" si="29"/>
        <v>#VALUE!</v>
      </c>
      <c r="AB65" s="105" t="str">
        <f t="shared" ca="1" si="44"/>
        <v/>
      </c>
      <c r="AC65" s="103" t="e">
        <f t="shared" si="30"/>
        <v>#VALUE!</v>
      </c>
      <c r="AD65" s="105" t="str">
        <f t="shared" ca="1" si="45"/>
        <v/>
      </c>
      <c r="AE65" s="103" t="e">
        <f t="shared" si="31"/>
        <v>#VALUE!</v>
      </c>
      <c r="AF65" s="105" t="str">
        <f t="shared" ca="1" si="46"/>
        <v/>
      </c>
      <c r="AG65" s="103" t="e">
        <f t="shared" si="32"/>
        <v>#VALUE!</v>
      </c>
      <c r="AH65" s="105" t="str">
        <f t="shared" ca="1" si="47"/>
        <v/>
      </c>
    </row>
    <row r="66" spans="1:34" ht="12.75">
      <c r="A66" s="41"/>
      <c r="B66" s="41"/>
      <c r="C66" s="294"/>
      <c r="D66" s="102">
        <v>0.9</v>
      </c>
      <c r="E66" s="103">
        <f t="shared" si="18"/>
        <v>144</v>
      </c>
      <c r="F66" s="105" t="e">
        <f t="shared" ca="1" si="33"/>
        <v>#NAME?</v>
      </c>
      <c r="G66" s="103">
        <f t="shared" si="19"/>
        <v>153.60000000000002</v>
      </c>
      <c r="H66" s="105" t="e">
        <f t="shared" ca="1" si="34"/>
        <v>#NAME?</v>
      </c>
      <c r="I66" s="103">
        <f t="shared" si="20"/>
        <v>148.19999999999999</v>
      </c>
      <c r="J66" s="105" t="e">
        <f t="shared" ca="1" si="35"/>
        <v>#NAME?</v>
      </c>
      <c r="K66" s="103">
        <f t="shared" si="21"/>
        <v>152.19999999999999</v>
      </c>
      <c r="L66" s="105" t="e">
        <f t="shared" ca="1" si="36"/>
        <v>#NAME?</v>
      </c>
      <c r="M66" s="103">
        <f t="shared" si="22"/>
        <v>151.19999999999999</v>
      </c>
      <c r="N66" s="105" t="e">
        <f t="shared" ca="1" si="37"/>
        <v>#NAME?</v>
      </c>
      <c r="O66" s="103">
        <f t="shared" si="23"/>
        <v>140.69999999999999</v>
      </c>
      <c r="P66" s="105" t="e">
        <f t="shared" ca="1" si="38"/>
        <v>#NAME?</v>
      </c>
      <c r="Q66" s="103">
        <f t="shared" si="24"/>
        <v>141.9</v>
      </c>
      <c r="R66" s="105" t="e">
        <f t="shared" ca="1" si="48"/>
        <v>#NAME?</v>
      </c>
      <c r="S66" s="103" t="e">
        <f t="shared" si="25"/>
        <v>#VALUE!</v>
      </c>
      <c r="T66" s="105" t="str">
        <f t="shared" ca="1" si="40"/>
        <v/>
      </c>
      <c r="U66" s="103" t="e">
        <f t="shared" si="26"/>
        <v>#VALUE!</v>
      </c>
      <c r="V66" s="105" t="str">
        <f t="shared" ca="1" si="41"/>
        <v/>
      </c>
      <c r="W66" s="103" t="e">
        <f t="shared" si="27"/>
        <v>#VALUE!</v>
      </c>
      <c r="X66" s="105" t="str">
        <f t="shared" ca="1" si="42"/>
        <v/>
      </c>
      <c r="Y66" s="103" t="e">
        <f t="shared" si="28"/>
        <v>#VALUE!</v>
      </c>
      <c r="Z66" s="105" t="str">
        <f t="shared" ca="1" si="43"/>
        <v/>
      </c>
      <c r="AA66" s="103" t="e">
        <f t="shared" si="29"/>
        <v>#VALUE!</v>
      </c>
      <c r="AB66" s="105" t="str">
        <f t="shared" ca="1" si="44"/>
        <v/>
      </c>
      <c r="AC66" s="103" t="e">
        <f t="shared" si="30"/>
        <v>#VALUE!</v>
      </c>
      <c r="AD66" s="105" t="str">
        <f t="shared" ca="1" si="45"/>
        <v/>
      </c>
      <c r="AE66" s="103" t="e">
        <f t="shared" si="31"/>
        <v>#VALUE!</v>
      </c>
      <c r="AF66" s="105" t="str">
        <f t="shared" ca="1" si="46"/>
        <v/>
      </c>
      <c r="AG66" s="103" t="e">
        <f t="shared" si="32"/>
        <v>#VALUE!</v>
      </c>
      <c r="AH66" s="105" t="str">
        <f t="shared" ca="1" si="47"/>
        <v/>
      </c>
    </row>
    <row r="67" spans="1:34" ht="12.75">
      <c r="A67" s="41"/>
      <c r="B67" s="41"/>
      <c r="C67" s="294"/>
      <c r="D67" s="102">
        <v>0.95</v>
      </c>
      <c r="E67" s="103">
        <f t="shared" si="18"/>
        <v>149.5</v>
      </c>
      <c r="F67" s="105" t="e">
        <f t="shared" ca="1" si="33"/>
        <v>#NAME?</v>
      </c>
      <c r="G67" s="103">
        <f t="shared" si="19"/>
        <v>158.80000000000001</v>
      </c>
      <c r="H67" s="105" t="e">
        <f t="shared" ca="1" si="34"/>
        <v>#NAME?</v>
      </c>
      <c r="I67" s="103">
        <f t="shared" si="20"/>
        <v>153.1</v>
      </c>
      <c r="J67" s="105" t="e">
        <f t="shared" ca="1" si="35"/>
        <v>#NAME?</v>
      </c>
      <c r="K67" s="103">
        <f t="shared" si="21"/>
        <v>157.1</v>
      </c>
      <c r="L67" s="105" t="e">
        <f t="shared" ca="1" si="36"/>
        <v>#NAME?</v>
      </c>
      <c r="M67" s="103">
        <f t="shared" si="22"/>
        <v>156.6</v>
      </c>
      <c r="N67" s="105" t="e">
        <f t="shared" ca="1" si="37"/>
        <v>#NAME?</v>
      </c>
      <c r="O67" s="103">
        <f t="shared" si="23"/>
        <v>145.85</v>
      </c>
      <c r="P67" s="105" t="e">
        <f t="shared" ca="1" si="38"/>
        <v>#NAME?</v>
      </c>
      <c r="Q67" s="103">
        <f t="shared" si="24"/>
        <v>146.94999999999999</v>
      </c>
      <c r="R67" s="105" t="e">
        <f t="shared" ca="1" si="48"/>
        <v>#NAME?</v>
      </c>
      <c r="S67" s="103" t="e">
        <f t="shared" si="25"/>
        <v>#VALUE!</v>
      </c>
      <c r="T67" s="105" t="str">
        <f t="shared" ca="1" si="40"/>
        <v/>
      </c>
      <c r="U67" s="103" t="e">
        <f t="shared" si="26"/>
        <v>#VALUE!</v>
      </c>
      <c r="V67" s="105" t="str">
        <f t="shared" ca="1" si="41"/>
        <v/>
      </c>
      <c r="W67" s="103" t="e">
        <f t="shared" si="27"/>
        <v>#VALUE!</v>
      </c>
      <c r="X67" s="105" t="str">
        <f t="shared" ca="1" si="42"/>
        <v/>
      </c>
      <c r="Y67" s="103" t="e">
        <f t="shared" si="28"/>
        <v>#VALUE!</v>
      </c>
      <c r="Z67" s="105" t="str">
        <f t="shared" ca="1" si="43"/>
        <v/>
      </c>
      <c r="AA67" s="103" t="e">
        <f t="shared" si="29"/>
        <v>#VALUE!</v>
      </c>
      <c r="AB67" s="105" t="str">
        <f t="shared" ca="1" si="44"/>
        <v/>
      </c>
      <c r="AC67" s="103" t="e">
        <f t="shared" si="30"/>
        <v>#VALUE!</v>
      </c>
      <c r="AD67" s="105" t="str">
        <f t="shared" ca="1" si="45"/>
        <v/>
      </c>
      <c r="AE67" s="103" t="e">
        <f t="shared" si="31"/>
        <v>#VALUE!</v>
      </c>
      <c r="AF67" s="105" t="str">
        <f t="shared" ca="1" si="46"/>
        <v/>
      </c>
      <c r="AG67" s="103" t="e">
        <f t="shared" si="32"/>
        <v>#VALUE!</v>
      </c>
      <c r="AH67" s="105" t="str">
        <f t="shared" ca="1" si="47"/>
        <v/>
      </c>
    </row>
    <row r="68" spans="1:34" ht="12.75">
      <c r="A68" s="41"/>
      <c r="B68" s="41"/>
      <c r="C68" s="294"/>
      <c r="D68" s="102">
        <v>1</v>
      </c>
      <c r="E68" s="103">
        <f t="shared" si="18"/>
        <v>155</v>
      </c>
      <c r="F68" s="105" t="e">
        <f t="shared" ca="1" si="33"/>
        <v>#NAME?</v>
      </c>
      <c r="G68" s="103">
        <f t="shared" si="19"/>
        <v>164</v>
      </c>
      <c r="H68" s="105" t="e">
        <f t="shared" ca="1" si="34"/>
        <v>#NAME?</v>
      </c>
      <c r="I68" s="103">
        <f t="shared" si="20"/>
        <v>158</v>
      </c>
      <c r="J68" s="105" t="e">
        <f t="shared" ca="1" si="35"/>
        <v>#NAME?</v>
      </c>
      <c r="K68" s="103">
        <f t="shared" si="21"/>
        <v>162</v>
      </c>
      <c r="L68" s="105" t="e">
        <f t="shared" ca="1" si="36"/>
        <v>#NAME?</v>
      </c>
      <c r="M68" s="103">
        <f t="shared" si="22"/>
        <v>162</v>
      </c>
      <c r="N68" s="105" t="e">
        <f t="shared" ca="1" si="37"/>
        <v>#NAME?</v>
      </c>
      <c r="O68" s="103">
        <f t="shared" si="23"/>
        <v>151</v>
      </c>
      <c r="P68" s="105" t="e">
        <f t="shared" ca="1" si="38"/>
        <v>#NAME?</v>
      </c>
      <c r="Q68" s="103">
        <f t="shared" si="24"/>
        <v>152</v>
      </c>
      <c r="R68" s="105" t="e">
        <f t="shared" ca="1" si="48"/>
        <v>#NAME?</v>
      </c>
      <c r="S68" s="103" t="e">
        <f t="shared" si="25"/>
        <v>#VALUE!</v>
      </c>
      <c r="T68" s="105" t="str">
        <f t="shared" ca="1" si="40"/>
        <v/>
      </c>
      <c r="U68" s="103" t="e">
        <f t="shared" si="26"/>
        <v>#VALUE!</v>
      </c>
      <c r="V68" s="105" t="str">
        <f t="shared" ca="1" si="41"/>
        <v/>
      </c>
      <c r="W68" s="103" t="e">
        <f t="shared" si="27"/>
        <v>#VALUE!</v>
      </c>
      <c r="X68" s="105" t="str">
        <f t="shared" ca="1" si="42"/>
        <v/>
      </c>
      <c r="Y68" s="103" t="e">
        <f t="shared" si="28"/>
        <v>#VALUE!</v>
      </c>
      <c r="Z68" s="105" t="str">
        <f t="shared" ca="1" si="43"/>
        <v/>
      </c>
      <c r="AA68" s="103" t="e">
        <f t="shared" si="29"/>
        <v>#VALUE!</v>
      </c>
      <c r="AB68" s="105" t="str">
        <f t="shared" ca="1" si="44"/>
        <v/>
      </c>
      <c r="AC68" s="103" t="e">
        <f t="shared" si="30"/>
        <v>#VALUE!</v>
      </c>
      <c r="AD68" s="105" t="str">
        <f t="shared" ca="1" si="45"/>
        <v/>
      </c>
      <c r="AE68" s="103" t="e">
        <f t="shared" si="31"/>
        <v>#VALUE!</v>
      </c>
      <c r="AF68" s="105" t="str">
        <f t="shared" ca="1" si="46"/>
        <v/>
      </c>
      <c r="AG68" s="103" t="e">
        <f t="shared" si="32"/>
        <v>#VALUE!</v>
      </c>
      <c r="AH68" s="105" t="str">
        <f t="shared" ca="1" si="47"/>
        <v/>
      </c>
    </row>
    <row r="69" spans="1:34" ht="12.75">
      <c r="A69" s="41"/>
      <c r="B69" s="41"/>
      <c r="C69" s="294"/>
      <c r="D69" s="102">
        <v>1.1000000000000001</v>
      </c>
      <c r="E69" s="12" t="s">
        <v>55</v>
      </c>
      <c r="F69" s="105" t="e">
        <f t="shared" ref="F69:F70" ca="1" si="49">IF(E$17="","",F68+(((F$68-F$60)/8)*2))</f>
        <v>#NAME?</v>
      </c>
      <c r="G69" s="12" t="s">
        <v>55</v>
      </c>
      <c r="H69" s="105" t="e">
        <f t="shared" ref="H69:H70" ca="1" si="50">IF(G$17="","",H68+(((H$68-H$60)/8)*2))</f>
        <v>#NAME?</v>
      </c>
      <c r="I69" s="12" t="s">
        <v>55</v>
      </c>
      <c r="J69" s="105" t="e">
        <f t="shared" ref="J69:J70" ca="1" si="51">IF(I$17="","",J68+(((J$68-J$60)/8)*2))</f>
        <v>#NAME?</v>
      </c>
      <c r="K69" s="12" t="s">
        <v>55</v>
      </c>
      <c r="L69" s="105" t="e">
        <f t="shared" ref="L69:L70" ca="1" si="52">IF(K$17="","",L68+(((L$68-L$60)/8)*2))</f>
        <v>#NAME?</v>
      </c>
      <c r="M69" s="12" t="s">
        <v>55</v>
      </c>
      <c r="N69" s="105" t="e">
        <f t="shared" ref="N69:N70" ca="1" si="53">IF(M$17="","",N68+(((N$68-N$60)/8)*2))</f>
        <v>#NAME?</v>
      </c>
      <c r="O69" s="12" t="s">
        <v>55</v>
      </c>
      <c r="P69" s="105" t="e">
        <f t="shared" ref="P69:P70" ca="1" si="54">IF(O$17="","",P68+(((P$68-P$60)/8)*2))</f>
        <v>#NAME?</v>
      </c>
      <c r="Q69" s="12" t="s">
        <v>55</v>
      </c>
      <c r="R69" s="105" t="e">
        <f t="shared" ref="R69:R70" ca="1" si="55">IF(Q$17="","",R68+(((R$68-R$60)/8)*2))</f>
        <v>#NAME?</v>
      </c>
      <c r="S69" s="12" t="s">
        <v>55</v>
      </c>
      <c r="T69" s="105" t="str">
        <f t="shared" ref="T69:T70" si="56">IF(S$17="","",T68+(((T$68-T$60)/8)*2))</f>
        <v/>
      </c>
      <c r="U69" s="12" t="s">
        <v>55</v>
      </c>
      <c r="V69" s="105" t="str">
        <f t="shared" ref="V69:V70" si="57">IF(U$17="","",V68+(((V$68-V$60)/8)*2))</f>
        <v/>
      </c>
      <c r="W69" s="12" t="s">
        <v>55</v>
      </c>
      <c r="X69" s="105" t="str">
        <f t="shared" ref="X69:X70" si="58">IF(W$17="","",X68+(((X$68-X$60)/8)*2))</f>
        <v/>
      </c>
      <c r="Y69" s="12" t="s">
        <v>55</v>
      </c>
      <c r="Z69" s="105" t="str">
        <f t="shared" ref="Z69:Z70" si="59">IF(Y$17="","",Z68+(((Z$68-Z$60)/8)*2))</f>
        <v/>
      </c>
      <c r="AA69" s="12" t="s">
        <v>55</v>
      </c>
      <c r="AB69" s="105" t="str">
        <f t="shared" ref="AB69:AB70" si="60">IF(AA$17="","",AB68+(((AB$68-AB$60)/8)*2))</f>
        <v/>
      </c>
      <c r="AC69" s="12" t="s">
        <v>55</v>
      </c>
      <c r="AD69" s="105" t="str">
        <f t="shared" ref="AD69:AD70" si="61">IF(AC$17="","",AD68+(((AD$68-AD$60)/8)*2))</f>
        <v/>
      </c>
      <c r="AE69" s="12" t="s">
        <v>55</v>
      </c>
      <c r="AF69" s="105" t="str">
        <f t="shared" ref="AF69:AF70" si="62">IF(AE$17="","",AF68+(((AF$68-AF$60)/8)*2))</f>
        <v/>
      </c>
      <c r="AG69" s="12" t="s">
        <v>55</v>
      </c>
      <c r="AH69" s="105" t="str">
        <f t="shared" ref="AH69:AH70" si="63">IF(AG$17="","",AH68+(((AH$68-AH$60)/8)*2))</f>
        <v/>
      </c>
    </row>
    <row r="70" spans="1:34" ht="12.75">
      <c r="A70" s="41"/>
      <c r="B70" s="41"/>
      <c r="C70" s="294"/>
      <c r="D70" s="102">
        <v>1.2</v>
      </c>
      <c r="E70" s="12" t="s">
        <v>55</v>
      </c>
      <c r="F70" s="105" t="e">
        <f t="shared" ca="1" si="49"/>
        <v>#NAME?</v>
      </c>
      <c r="G70" s="12" t="s">
        <v>55</v>
      </c>
      <c r="H70" s="105" t="e">
        <f t="shared" ca="1" si="50"/>
        <v>#NAME?</v>
      </c>
      <c r="I70" s="12" t="s">
        <v>55</v>
      </c>
      <c r="J70" s="105" t="e">
        <f t="shared" ca="1" si="51"/>
        <v>#NAME?</v>
      </c>
      <c r="K70" s="12" t="s">
        <v>55</v>
      </c>
      <c r="L70" s="105" t="e">
        <f t="shared" ca="1" si="52"/>
        <v>#NAME?</v>
      </c>
      <c r="M70" s="12" t="s">
        <v>55</v>
      </c>
      <c r="N70" s="105" t="e">
        <f t="shared" ca="1" si="53"/>
        <v>#NAME?</v>
      </c>
      <c r="O70" s="12" t="s">
        <v>55</v>
      </c>
      <c r="P70" s="105" t="e">
        <f t="shared" ca="1" si="54"/>
        <v>#NAME?</v>
      </c>
      <c r="Q70" s="12" t="s">
        <v>55</v>
      </c>
      <c r="R70" s="105" t="e">
        <f t="shared" ca="1" si="55"/>
        <v>#NAME?</v>
      </c>
      <c r="S70" s="12" t="s">
        <v>55</v>
      </c>
      <c r="T70" s="105" t="str">
        <f t="shared" si="56"/>
        <v/>
      </c>
      <c r="U70" s="12" t="s">
        <v>55</v>
      </c>
      <c r="V70" s="105" t="str">
        <f t="shared" si="57"/>
        <v/>
      </c>
      <c r="W70" s="12" t="s">
        <v>55</v>
      </c>
      <c r="X70" s="105" t="str">
        <f t="shared" si="58"/>
        <v/>
      </c>
      <c r="Y70" s="12" t="s">
        <v>55</v>
      </c>
      <c r="Z70" s="105" t="str">
        <f t="shared" si="59"/>
        <v/>
      </c>
      <c r="AA70" s="12" t="s">
        <v>55</v>
      </c>
      <c r="AB70" s="105" t="str">
        <f t="shared" si="60"/>
        <v/>
      </c>
      <c r="AC70" s="12" t="s">
        <v>55</v>
      </c>
      <c r="AD70" s="105" t="str">
        <f t="shared" si="61"/>
        <v/>
      </c>
      <c r="AE70" s="12" t="s">
        <v>55</v>
      </c>
      <c r="AF70" s="105" t="str">
        <f t="shared" si="62"/>
        <v/>
      </c>
      <c r="AG70" s="12" t="s">
        <v>55</v>
      </c>
      <c r="AH70" s="105" t="str">
        <f t="shared" si="63"/>
        <v/>
      </c>
    </row>
    <row r="71" spans="1:34" ht="12.75" hidden="1">
      <c r="A71" s="41"/>
      <c r="B71" s="41"/>
    </row>
    <row r="72" spans="1:34" ht="12.75" hidden="1">
      <c r="A72" s="41"/>
      <c r="B72" s="41"/>
    </row>
    <row r="73" spans="1:34" ht="12.75" hidden="1">
      <c r="A73" s="41"/>
      <c r="B73" s="41"/>
      <c r="C73" s="41" t="str">
        <f t="shared" ref="C73:C80" si="64">A7</f>
        <v>VO₂Max</v>
      </c>
      <c r="D73" s="106"/>
      <c r="E73" s="34">
        <f t="shared" ref="E73:E80" si="65">IF(F7="",E7,F7)</f>
        <v>56.6</v>
      </c>
      <c r="G73" s="34">
        <f t="shared" ref="G73:G80" si="66">IF(H7="",G7,H7)</f>
        <v>57.4</v>
      </c>
      <c r="I73" s="34">
        <f t="shared" ref="I73:I80" si="67">IF(J7="",I7,J7)</f>
        <v>60.46</v>
      </c>
      <c r="K73" s="34">
        <f t="shared" ref="K73:K80" si="68">IF(L7="",K7,L7)</f>
        <v>60.46</v>
      </c>
      <c r="M73" s="34">
        <f t="shared" ref="M73:M80" si="69">IF(N7="",M7,N7)</f>
        <v>57.44</v>
      </c>
      <c r="O73" s="107" t="e">
        <f t="shared" ref="O73:O80" ca="1" si="70">IF(P7="",O7,P7)</f>
        <v>#NAME?</v>
      </c>
      <c r="Q73" s="34">
        <f t="shared" ref="Q73:Q80" si="71">IF(R7="",Q7,R7)</f>
        <v>60.46</v>
      </c>
      <c r="S73" s="107" t="e">
        <f t="shared" ref="S73:S80" ca="1" si="72">IF(T7="",S7,T7)</f>
        <v>#NAME?</v>
      </c>
      <c r="U73" s="107" t="e">
        <f t="shared" ref="U73:U80" ca="1" si="73">IF(V7="",U7,V7)</f>
        <v>#NAME?</v>
      </c>
      <c r="W73" s="107" t="e">
        <f t="shared" ref="W73:W80" ca="1" si="74">IF(X7="",W7,X7)</f>
        <v>#NAME?</v>
      </c>
      <c r="Y73" s="107" t="e">
        <f t="shared" ref="Y73:Y80" ca="1" si="75">IF(Z7="",Y7,Z7)</f>
        <v>#NAME?</v>
      </c>
      <c r="AA73" s="107" t="e">
        <f t="shared" ref="AA73:AA80" ca="1" si="76">IF(AB7="",AA7,AB7)</f>
        <v>#NAME?</v>
      </c>
      <c r="AC73" s="107" t="e">
        <f t="shared" ref="AC73:AC80" ca="1" si="77">IF(AD7="",AC7,AD7)</f>
        <v>#NAME?</v>
      </c>
      <c r="AE73" s="107" t="e">
        <f t="shared" ref="AE73:AE80" ca="1" si="78">IF(AF7="",AE7,AF7)</f>
        <v>#NAME?</v>
      </c>
      <c r="AG73" s="107" t="e">
        <f t="shared" ref="AG73:AG80" ca="1" si="79">IF(AH7="",AG7,AH7)</f>
        <v>#NAME?</v>
      </c>
    </row>
    <row r="74" spans="1:34" ht="12.75" hidden="1">
      <c r="A74" s="41"/>
      <c r="B74" s="41"/>
      <c r="C74" s="41" t="str">
        <f t="shared" si="64"/>
        <v>Limiar anaeróbico(bpm)</v>
      </c>
      <c r="D74" s="106"/>
      <c r="E74" s="34">
        <f t="shared" si="65"/>
        <v>143</v>
      </c>
      <c r="F74" s="76"/>
      <c r="G74" s="34">
        <f t="shared" si="66"/>
        <v>148</v>
      </c>
      <c r="H74" s="76"/>
      <c r="I74" s="108">
        <f t="shared" si="67"/>
        <v>143.30000000000001</v>
      </c>
      <c r="J74" s="76"/>
      <c r="K74" s="34">
        <f t="shared" si="68"/>
        <v>155</v>
      </c>
      <c r="L74" s="76"/>
      <c r="M74" s="34">
        <f t="shared" si="69"/>
        <v>147</v>
      </c>
      <c r="N74" s="76"/>
      <c r="O74" s="108">
        <f t="shared" si="70"/>
        <v>135.55000000000001</v>
      </c>
      <c r="P74" s="76"/>
      <c r="Q74" s="34">
        <f t="shared" si="71"/>
        <v>138</v>
      </c>
      <c r="R74" s="76"/>
      <c r="S74" s="108" t="str">
        <f t="shared" si="72"/>
        <v/>
      </c>
      <c r="T74" s="76"/>
      <c r="U74" s="108" t="str">
        <f t="shared" si="73"/>
        <v/>
      </c>
      <c r="V74" s="76"/>
      <c r="W74" s="108" t="str">
        <f t="shared" si="74"/>
        <v/>
      </c>
      <c r="X74" s="76"/>
      <c r="Y74" s="108" t="str">
        <f t="shared" si="75"/>
        <v/>
      </c>
      <c r="Z74" s="76"/>
      <c r="AA74" s="108" t="str">
        <f t="shared" si="76"/>
        <v/>
      </c>
      <c r="AB74" s="76"/>
      <c r="AC74" s="108" t="str">
        <f t="shared" si="77"/>
        <v/>
      </c>
      <c r="AD74" s="76"/>
      <c r="AE74" s="108" t="str">
        <f t="shared" si="78"/>
        <v/>
      </c>
      <c r="AF74" s="76"/>
      <c r="AG74" s="108" t="str">
        <f t="shared" si="79"/>
        <v/>
      </c>
      <c r="AH74" s="76"/>
    </row>
    <row r="75" spans="1:34" ht="12.75" hidden="1">
      <c r="A75" s="41"/>
      <c r="B75" s="41"/>
      <c r="C75" s="41" t="str">
        <f t="shared" si="64"/>
        <v>Limiar anaeróbico (km/h ou watts)</v>
      </c>
      <c r="D75" s="106"/>
      <c r="E75" s="109" t="e">
        <f t="shared" ca="1" si="65"/>
        <v>#NAME?</v>
      </c>
      <c r="F75" s="76"/>
      <c r="G75" s="34">
        <f t="shared" si="66"/>
        <v>14</v>
      </c>
      <c r="H75" s="76"/>
      <c r="I75" s="109" t="e">
        <f t="shared" ca="1" si="67"/>
        <v>#NAME?</v>
      </c>
      <c r="J75" s="76"/>
      <c r="K75" s="34">
        <f t="shared" si="68"/>
        <v>16</v>
      </c>
      <c r="L75" s="76"/>
      <c r="M75" s="34">
        <f t="shared" si="69"/>
        <v>15</v>
      </c>
      <c r="N75" s="76"/>
      <c r="O75" s="109" t="e">
        <f t="shared" ca="1" si="70"/>
        <v>#NAME?</v>
      </c>
      <c r="P75" s="76"/>
      <c r="Q75" s="34">
        <f t="shared" si="71"/>
        <v>15</v>
      </c>
      <c r="R75" s="76"/>
      <c r="S75" s="109" t="str">
        <f t="shared" si="72"/>
        <v/>
      </c>
      <c r="T75" s="76"/>
      <c r="U75" s="109" t="str">
        <f t="shared" si="73"/>
        <v/>
      </c>
      <c r="V75" s="76"/>
      <c r="W75" s="109" t="str">
        <f t="shared" si="74"/>
        <v/>
      </c>
      <c r="X75" s="76"/>
      <c r="Y75" s="109" t="str">
        <f t="shared" si="75"/>
        <v/>
      </c>
      <c r="Z75" s="76"/>
      <c r="AA75" s="109" t="str">
        <f t="shared" si="76"/>
        <v/>
      </c>
      <c r="AB75" s="76"/>
      <c r="AC75" s="109" t="str">
        <f t="shared" si="77"/>
        <v/>
      </c>
      <c r="AD75" s="76"/>
      <c r="AE75" s="109" t="str">
        <f t="shared" si="78"/>
        <v/>
      </c>
      <c r="AF75" s="76"/>
      <c r="AG75" s="109" t="str">
        <f t="shared" si="79"/>
        <v/>
      </c>
      <c r="AH75" s="76"/>
    </row>
    <row r="76" spans="1:34" ht="12.75" hidden="1">
      <c r="A76" s="41"/>
      <c r="B76" s="41"/>
      <c r="C76" s="41" t="str">
        <f t="shared" si="64"/>
        <v>Limiar anaeróbico (pace)</v>
      </c>
      <c r="D76" s="106"/>
      <c r="E76" s="109" t="e">
        <f t="shared" ca="1" si="65"/>
        <v>#NAME?</v>
      </c>
      <c r="F76" s="76"/>
      <c r="G76" s="109">
        <f t="shared" si="66"/>
        <v>4.2857142857142856</v>
      </c>
      <c r="H76" s="76"/>
      <c r="I76" s="109" t="e">
        <f t="shared" ca="1" si="67"/>
        <v>#NAME?</v>
      </c>
      <c r="J76" s="76"/>
      <c r="K76" s="109">
        <f t="shared" si="68"/>
        <v>3.75</v>
      </c>
      <c r="L76" s="76"/>
      <c r="M76" s="109">
        <f t="shared" si="69"/>
        <v>4</v>
      </c>
      <c r="N76" s="76"/>
      <c r="O76" s="109" t="e">
        <f t="shared" ca="1" si="70"/>
        <v>#NAME?</v>
      </c>
      <c r="P76" s="76"/>
      <c r="Q76" s="109">
        <f t="shared" si="71"/>
        <v>4</v>
      </c>
      <c r="R76" s="76"/>
      <c r="S76" s="109" t="str">
        <f t="shared" si="72"/>
        <v/>
      </c>
      <c r="T76" s="76"/>
      <c r="U76" s="109" t="str">
        <f t="shared" si="73"/>
        <v/>
      </c>
      <c r="V76" s="76"/>
      <c r="W76" s="109" t="str">
        <f t="shared" si="74"/>
        <v/>
      </c>
      <c r="X76" s="76"/>
      <c r="Y76" s="109" t="str">
        <f t="shared" si="75"/>
        <v/>
      </c>
      <c r="Z76" s="76"/>
      <c r="AA76" s="109" t="str">
        <f t="shared" si="76"/>
        <v/>
      </c>
      <c r="AB76" s="76"/>
      <c r="AC76" s="109" t="str">
        <f t="shared" si="77"/>
        <v/>
      </c>
      <c r="AD76" s="76"/>
      <c r="AE76" s="109" t="str">
        <f t="shared" si="78"/>
        <v/>
      </c>
      <c r="AF76" s="76"/>
      <c r="AG76" s="109" t="str">
        <f t="shared" si="79"/>
        <v/>
      </c>
      <c r="AH76" s="76"/>
    </row>
    <row r="77" spans="1:34" ht="12.75" hidden="1">
      <c r="A77" s="41"/>
      <c r="B77" s="41"/>
      <c r="C77" s="41" t="str">
        <f t="shared" si="64"/>
        <v>Velocidade Máxima (km/h ou watts)</v>
      </c>
      <c r="D77" s="106"/>
      <c r="E77" s="34" t="e">
        <f t="shared" ca="1" si="65"/>
        <v>#NAME?</v>
      </c>
      <c r="F77" s="76"/>
      <c r="G77" s="34" t="e">
        <f t="shared" ca="1" si="66"/>
        <v>#NAME?</v>
      </c>
      <c r="H77" s="76"/>
      <c r="I77" s="34" t="e">
        <f t="shared" ca="1" si="67"/>
        <v>#NAME?</v>
      </c>
      <c r="J77" s="76"/>
      <c r="K77" s="34">
        <f t="shared" si="68"/>
        <v>18</v>
      </c>
      <c r="L77" s="76"/>
      <c r="M77" s="34">
        <f t="shared" si="69"/>
        <v>18</v>
      </c>
      <c r="N77" s="76"/>
      <c r="O77" s="34" t="e">
        <f t="shared" ca="1" si="70"/>
        <v>#NAME?</v>
      </c>
      <c r="P77" s="76"/>
      <c r="Q77" s="34">
        <f t="shared" si="71"/>
        <v>19</v>
      </c>
      <c r="R77" s="76"/>
      <c r="S77" s="34" t="str">
        <f t="shared" ca="1" si="72"/>
        <v/>
      </c>
      <c r="T77" s="76"/>
      <c r="U77" s="34" t="str">
        <f t="shared" ca="1" si="73"/>
        <v/>
      </c>
      <c r="V77" s="76"/>
      <c r="W77" s="34" t="str">
        <f t="shared" ca="1" si="74"/>
        <v/>
      </c>
      <c r="X77" s="76"/>
      <c r="Y77" s="34" t="str">
        <f t="shared" ca="1" si="75"/>
        <v/>
      </c>
      <c r="Z77" s="76"/>
      <c r="AA77" s="34" t="str">
        <f t="shared" ca="1" si="76"/>
        <v/>
      </c>
      <c r="AB77" s="76"/>
      <c r="AC77" s="34" t="str">
        <f t="shared" ca="1" si="77"/>
        <v/>
      </c>
      <c r="AD77" s="76"/>
      <c r="AE77" s="34" t="str">
        <f t="shared" ca="1" si="78"/>
        <v/>
      </c>
      <c r="AF77" s="76"/>
      <c r="AG77" s="34" t="str">
        <f t="shared" ca="1" si="79"/>
        <v/>
      </c>
      <c r="AH77" s="76"/>
    </row>
    <row r="78" spans="1:34" ht="12.75" hidden="1">
      <c r="A78" s="41"/>
      <c r="B78" s="41"/>
      <c r="C78" s="41" t="str">
        <f t="shared" si="64"/>
        <v>FC Repouso</v>
      </c>
      <c r="D78" s="106"/>
      <c r="E78" s="34">
        <f t="shared" si="65"/>
        <v>45</v>
      </c>
      <c r="F78" s="76"/>
      <c r="G78" s="34">
        <f t="shared" si="66"/>
        <v>60</v>
      </c>
      <c r="H78" s="76"/>
      <c r="I78" s="34">
        <f t="shared" si="67"/>
        <v>60</v>
      </c>
      <c r="J78" s="76"/>
      <c r="K78" s="34">
        <f t="shared" si="68"/>
        <v>64</v>
      </c>
      <c r="L78" s="76"/>
      <c r="M78" s="34">
        <f t="shared" si="69"/>
        <v>54</v>
      </c>
      <c r="N78" s="76"/>
      <c r="O78" s="34">
        <f t="shared" si="70"/>
        <v>48</v>
      </c>
      <c r="P78" s="76"/>
      <c r="Q78" s="34">
        <f t="shared" si="71"/>
        <v>48</v>
      </c>
      <c r="R78" s="76"/>
      <c r="S78" s="34">
        <f t="shared" si="72"/>
        <v>0</v>
      </c>
      <c r="T78" s="76"/>
      <c r="U78" s="34">
        <f t="shared" si="73"/>
        <v>0</v>
      </c>
      <c r="V78" s="76"/>
      <c r="W78" s="34">
        <f t="shared" si="74"/>
        <v>0</v>
      </c>
      <c r="X78" s="76"/>
      <c r="Y78" s="34">
        <f t="shared" si="75"/>
        <v>0</v>
      </c>
      <c r="Z78" s="76"/>
      <c r="AA78" s="34">
        <f t="shared" si="76"/>
        <v>0</v>
      </c>
      <c r="AB78" s="76"/>
      <c r="AC78" s="34">
        <f t="shared" si="77"/>
        <v>0</v>
      </c>
      <c r="AD78" s="76"/>
      <c r="AE78" s="34">
        <f t="shared" si="78"/>
        <v>0</v>
      </c>
      <c r="AF78" s="76"/>
      <c r="AG78" s="34">
        <f t="shared" si="79"/>
        <v>0</v>
      </c>
      <c r="AH78" s="76"/>
    </row>
    <row r="79" spans="1:34" ht="12.75" hidden="1">
      <c r="A79" s="41"/>
      <c r="B79" s="41"/>
      <c r="C79" s="41" t="str">
        <f t="shared" si="64"/>
        <v>FC máxima predita (bpm)</v>
      </c>
      <c r="D79" s="106"/>
      <c r="E79" s="108">
        <f t="shared" ca="1" si="65"/>
        <v>171.55</v>
      </c>
      <c r="F79" s="76"/>
      <c r="G79" s="108">
        <f t="shared" ca="1" si="66"/>
        <v>170.86500000000001</v>
      </c>
      <c r="H79" s="76"/>
      <c r="I79" s="108">
        <f t="shared" ca="1" si="67"/>
        <v>170.86500000000001</v>
      </c>
      <c r="J79" s="76"/>
      <c r="K79" s="34">
        <f t="shared" si="68"/>
        <v>170</v>
      </c>
      <c r="L79" s="76"/>
      <c r="M79" s="34">
        <f t="shared" si="69"/>
        <v>170</v>
      </c>
      <c r="N79" s="76"/>
      <c r="O79" s="108">
        <f t="shared" ca="1" si="70"/>
        <v>169.495</v>
      </c>
      <c r="P79" s="76"/>
      <c r="Q79" s="34">
        <f t="shared" si="71"/>
        <v>170</v>
      </c>
      <c r="R79" s="76"/>
      <c r="S79" s="108" t="str">
        <f t="shared" ca="1" si="72"/>
        <v/>
      </c>
      <c r="T79" s="76"/>
      <c r="U79" s="108" t="str">
        <f t="shared" ca="1" si="73"/>
        <v/>
      </c>
      <c r="V79" s="76"/>
      <c r="W79" s="108" t="str">
        <f t="shared" ca="1" si="74"/>
        <v/>
      </c>
      <c r="X79" s="76"/>
      <c r="Y79" s="108" t="str">
        <f t="shared" ca="1" si="75"/>
        <v/>
      </c>
      <c r="Z79" s="76"/>
      <c r="AA79" s="108" t="str">
        <f t="shared" ca="1" si="76"/>
        <v/>
      </c>
      <c r="AB79" s="76"/>
      <c r="AC79" s="108" t="str">
        <f t="shared" ca="1" si="77"/>
        <v/>
      </c>
      <c r="AD79" s="76"/>
      <c r="AE79" s="108" t="str">
        <f t="shared" ca="1" si="78"/>
        <v/>
      </c>
      <c r="AF79" s="76"/>
      <c r="AG79" s="108" t="str">
        <f t="shared" ca="1" si="79"/>
        <v/>
      </c>
      <c r="AH79" s="76"/>
    </row>
    <row r="80" spans="1:34" ht="12.75" hidden="1">
      <c r="A80" s="41"/>
      <c r="B80" s="41"/>
      <c r="C80" s="41" t="str">
        <f t="shared" si="64"/>
        <v>FC máxima no teste (bpm)</v>
      </c>
      <c r="D80" s="106"/>
      <c r="E80" s="34">
        <f t="shared" si="65"/>
        <v>155</v>
      </c>
      <c r="F80" s="76"/>
      <c r="G80" s="34">
        <f t="shared" si="66"/>
        <v>164</v>
      </c>
      <c r="H80" s="76"/>
      <c r="I80" s="34">
        <f t="shared" si="67"/>
        <v>158</v>
      </c>
      <c r="J80" s="76"/>
      <c r="K80" s="34">
        <f t="shared" si="68"/>
        <v>162</v>
      </c>
      <c r="L80" s="76"/>
      <c r="M80" s="34">
        <f t="shared" si="69"/>
        <v>162</v>
      </c>
      <c r="N80" s="76"/>
      <c r="O80" s="34">
        <f t="shared" si="70"/>
        <v>151</v>
      </c>
      <c r="P80" s="76"/>
      <c r="Q80" s="34">
        <f t="shared" si="71"/>
        <v>150</v>
      </c>
      <c r="R80" s="76"/>
      <c r="S80" s="34" t="str">
        <f t="shared" si="72"/>
        <v/>
      </c>
      <c r="T80" s="76"/>
      <c r="U80" s="34" t="str">
        <f t="shared" si="73"/>
        <v/>
      </c>
      <c r="V80" s="76"/>
      <c r="W80" s="34" t="str">
        <f t="shared" si="74"/>
        <v/>
      </c>
      <c r="X80" s="76"/>
      <c r="Y80" s="34" t="str">
        <f t="shared" si="75"/>
        <v/>
      </c>
      <c r="Z80" s="76"/>
      <c r="AA80" s="34" t="str">
        <f t="shared" si="76"/>
        <v/>
      </c>
      <c r="AB80" s="76"/>
      <c r="AC80" s="34" t="str">
        <f t="shared" si="77"/>
        <v/>
      </c>
      <c r="AD80" s="76"/>
      <c r="AE80" s="34" t="str">
        <f t="shared" si="78"/>
        <v/>
      </c>
      <c r="AF80" s="76"/>
      <c r="AG80" s="34" t="str">
        <f t="shared" si="79"/>
        <v/>
      </c>
      <c r="AH80" s="76"/>
    </row>
    <row r="81" spans="1:34" ht="12.75" hidden="1">
      <c r="A81" s="41"/>
      <c r="B81" s="41"/>
      <c r="C81" s="41"/>
      <c r="D81" s="106"/>
      <c r="F81" s="76"/>
      <c r="H81" s="76"/>
      <c r="J81" s="76"/>
      <c r="L81" s="76"/>
      <c r="N81" s="76"/>
      <c r="P81" s="76"/>
      <c r="R81" s="76"/>
      <c r="T81" s="76"/>
      <c r="V81" s="76"/>
      <c r="X81" s="76"/>
      <c r="Z81" s="76"/>
      <c r="AB81" s="76"/>
      <c r="AD81" s="76"/>
      <c r="AF81" s="76"/>
      <c r="AH81" s="76"/>
    </row>
    <row r="82" spans="1:34" ht="12.75" hidden="1">
      <c r="A82" s="41"/>
      <c r="B82" s="41"/>
      <c r="C82" s="356" t="s">
        <v>321</v>
      </c>
      <c r="D82" s="76" t="s">
        <v>319</v>
      </c>
      <c r="E82" s="76" t="s">
        <v>311</v>
      </c>
      <c r="F82" s="12" t="e">
        <f ca="1">F42</f>
        <v>#NAME?</v>
      </c>
      <c r="G82" s="76" t="s">
        <v>311</v>
      </c>
      <c r="H82" s="12" t="e">
        <f ca="1">H42</f>
        <v>#NAME?</v>
      </c>
      <c r="I82" s="76" t="s">
        <v>311</v>
      </c>
      <c r="J82" s="12" t="e">
        <f ca="1">J42</f>
        <v>#NAME?</v>
      </c>
      <c r="K82" s="76" t="s">
        <v>311</v>
      </c>
      <c r="L82" s="12" t="e">
        <f ca="1">L42</f>
        <v>#NAME?</v>
      </c>
      <c r="M82" s="76" t="s">
        <v>311</v>
      </c>
      <c r="N82" s="12" t="e">
        <f ca="1">N42</f>
        <v>#NAME?</v>
      </c>
      <c r="O82" s="76" t="s">
        <v>311</v>
      </c>
      <c r="P82" s="12" t="e">
        <f ca="1">P42</f>
        <v>#NAME?</v>
      </c>
      <c r="Q82" s="76" t="s">
        <v>311</v>
      </c>
      <c r="R82" s="12" t="e">
        <f ca="1">R42</f>
        <v>#NAME?</v>
      </c>
      <c r="S82" s="76" t="s">
        <v>311</v>
      </c>
      <c r="T82" s="12" t="e">
        <f ca="1">T42</f>
        <v>#NAME?</v>
      </c>
      <c r="U82" s="76" t="s">
        <v>311</v>
      </c>
      <c r="V82" s="12" t="e">
        <f ca="1">V42</f>
        <v>#NAME?</v>
      </c>
      <c r="W82" s="76" t="s">
        <v>311</v>
      </c>
      <c r="X82" s="12" t="e">
        <f ca="1">X42</f>
        <v>#NAME?</v>
      </c>
      <c r="Y82" s="76" t="s">
        <v>311</v>
      </c>
      <c r="Z82" s="12" t="e">
        <f ca="1">Z42</f>
        <v>#NAME?</v>
      </c>
      <c r="AA82" s="76" t="s">
        <v>311</v>
      </c>
      <c r="AB82" s="12" t="e">
        <f ca="1">AB42</f>
        <v>#NAME?</v>
      </c>
      <c r="AC82" s="76" t="s">
        <v>311</v>
      </c>
      <c r="AD82" s="12" t="e">
        <f ca="1">AD42</f>
        <v>#NAME?</v>
      </c>
      <c r="AE82" s="76" t="s">
        <v>311</v>
      </c>
      <c r="AF82" s="12" t="e">
        <f ca="1">AF42</f>
        <v>#NAME?</v>
      </c>
      <c r="AG82" s="76" t="s">
        <v>311</v>
      </c>
      <c r="AH82" s="12" t="e">
        <f ca="1">AH42</f>
        <v>#NAME?</v>
      </c>
    </row>
    <row r="83" spans="1:34" ht="12.75" hidden="1">
      <c r="A83" s="41"/>
      <c r="B83" s="41"/>
      <c r="C83" s="294"/>
      <c r="D83" s="102">
        <v>0.5</v>
      </c>
      <c r="E83" s="103">
        <f t="shared" ref="E83:E95" si="80">E43</f>
        <v>100</v>
      </c>
      <c r="F83" s="105">
        <f t="shared" ref="F83:F95" si="81">IF(F43="",F58,F43)</f>
        <v>8.4</v>
      </c>
      <c r="G83" s="103">
        <f t="shared" ref="G83:G95" si="82">G43</f>
        <v>112</v>
      </c>
      <c r="H83" s="105" t="e">
        <f t="shared" ref="H83:H95" ca="1" si="83">IF(H43="",H58,H43)</f>
        <v>#NAME?</v>
      </c>
      <c r="I83" s="103">
        <f t="shared" ref="I83:I95" si="84">I43</f>
        <v>109</v>
      </c>
      <c r="J83" s="105" t="e">
        <f t="shared" ref="J83:J95" ca="1" si="85">IF(J43="",J58,J43)</f>
        <v>#NAME?</v>
      </c>
      <c r="K83" s="103">
        <f t="shared" ref="K83:K95" si="86">K43</f>
        <v>113</v>
      </c>
      <c r="L83" s="105">
        <f t="shared" ref="L83:L95" si="87">IF(L43="",L58,L43)</f>
        <v>9.1</v>
      </c>
      <c r="M83" s="103">
        <f t="shared" ref="M83:M95" si="88">M43</f>
        <v>108</v>
      </c>
      <c r="N83" s="105">
        <f t="shared" ref="N83:N95" si="89">IF(N43="",N58,N43)</f>
        <v>9.4</v>
      </c>
      <c r="O83" s="103">
        <f t="shared" ref="O83:O95" si="90">O43</f>
        <v>99.5</v>
      </c>
      <c r="P83" s="105" t="e">
        <f t="shared" ref="P83:P95" ca="1" si="91">IF(P43="",P58,P43)</f>
        <v>#NAME?</v>
      </c>
      <c r="Q83" s="103">
        <f t="shared" ref="Q83:Q95" si="92">Q43</f>
        <v>101.5</v>
      </c>
      <c r="R83" s="105">
        <f t="shared" ref="R83:R95" si="93">IF(R43="",R58,R43)</f>
        <v>10</v>
      </c>
      <c r="S83" s="103" t="e">
        <f t="shared" ref="S83:S95" si="94">S43</f>
        <v>#VALUE!</v>
      </c>
      <c r="T83" s="105" t="e">
        <f t="shared" ref="T83:T95" ca="1" si="95">IF(T43="",T58,T43)</f>
        <v>#VALUE!</v>
      </c>
      <c r="U83" s="103" t="e">
        <f t="shared" ref="U83:U95" si="96">U43</f>
        <v>#VALUE!</v>
      </c>
      <c r="V83" s="105" t="e">
        <f t="shared" ref="V83:V95" ca="1" si="97">IF(V43="",V58,V43)</f>
        <v>#VALUE!</v>
      </c>
      <c r="W83" s="103" t="e">
        <f t="shared" ref="W83:W95" si="98">W43</f>
        <v>#VALUE!</v>
      </c>
      <c r="X83" s="105" t="e">
        <f t="shared" ref="X83:X95" ca="1" si="99">IF(X43="",X58,X43)</f>
        <v>#VALUE!</v>
      </c>
      <c r="Y83" s="103" t="e">
        <f t="shared" ref="Y83:Y95" si="100">Y43</f>
        <v>#VALUE!</v>
      </c>
      <c r="Z83" s="105" t="e">
        <f t="shared" ref="Z83:Z95" ca="1" si="101">IF(Z43="",Z58,Z43)</f>
        <v>#VALUE!</v>
      </c>
      <c r="AA83" s="103" t="e">
        <f t="shared" ref="AA83:AA95" si="102">AA43</f>
        <v>#VALUE!</v>
      </c>
      <c r="AB83" s="105" t="e">
        <f t="shared" ref="AB83:AB95" ca="1" si="103">IF(AB43="",AB58,AB43)</f>
        <v>#VALUE!</v>
      </c>
      <c r="AC83" s="103" t="e">
        <f t="shared" ref="AC83:AC95" si="104">AC43</f>
        <v>#VALUE!</v>
      </c>
      <c r="AD83" s="105" t="e">
        <f t="shared" ref="AD83:AD95" ca="1" si="105">IF(AD43="",AD58,AD43)</f>
        <v>#VALUE!</v>
      </c>
      <c r="AE83" s="103" t="e">
        <f t="shared" ref="AE83:AE95" si="106">AE43</f>
        <v>#VALUE!</v>
      </c>
      <c r="AF83" s="105" t="e">
        <f t="shared" ref="AF83:AF95" ca="1" si="107">IF(AF43="",AF58,AF43)</f>
        <v>#VALUE!</v>
      </c>
      <c r="AG83" s="103" t="e">
        <f t="shared" ref="AG83:AG95" si="108">AG43</f>
        <v>#VALUE!</v>
      </c>
      <c r="AH83" s="105" t="e">
        <f t="shared" ref="AH83:AH95" ca="1" si="109">IF(AH43="",AH58,AH43)</f>
        <v>#VALUE!</v>
      </c>
    </row>
    <row r="84" spans="1:34" ht="12.75" hidden="1">
      <c r="A84" s="41"/>
      <c r="B84" s="41"/>
      <c r="C84" s="294"/>
      <c r="D84" s="102">
        <v>0.55000000000000004</v>
      </c>
      <c r="E84" s="103">
        <f t="shared" si="80"/>
        <v>105.5</v>
      </c>
      <c r="F84" s="105">
        <f t="shared" si="81"/>
        <v>9</v>
      </c>
      <c r="G84" s="103">
        <f t="shared" si="82"/>
        <v>117.2</v>
      </c>
      <c r="H84" s="105" t="e">
        <f t="shared" ca="1" si="83"/>
        <v>#NAME?</v>
      </c>
      <c r="I84" s="103">
        <f t="shared" si="84"/>
        <v>113.9</v>
      </c>
      <c r="J84" s="105" t="e">
        <f t="shared" ca="1" si="85"/>
        <v>#NAME?</v>
      </c>
      <c r="K84" s="103">
        <f t="shared" si="86"/>
        <v>117.9</v>
      </c>
      <c r="L84" s="105">
        <f t="shared" si="87"/>
        <v>10</v>
      </c>
      <c r="M84" s="103">
        <f t="shared" si="88"/>
        <v>113.4</v>
      </c>
      <c r="N84" s="105">
        <f t="shared" si="89"/>
        <v>10</v>
      </c>
      <c r="O84" s="103">
        <f t="shared" si="90"/>
        <v>104.65</v>
      </c>
      <c r="P84" s="105" t="e">
        <f t="shared" ca="1" si="91"/>
        <v>#NAME?</v>
      </c>
      <c r="Q84" s="103">
        <f t="shared" si="92"/>
        <v>106.55000000000001</v>
      </c>
      <c r="R84" s="105">
        <f t="shared" si="93"/>
        <v>10.5</v>
      </c>
      <c r="S84" s="103" t="e">
        <f t="shared" si="94"/>
        <v>#VALUE!</v>
      </c>
      <c r="T84" s="105" t="str">
        <f t="shared" ca="1" si="95"/>
        <v/>
      </c>
      <c r="U84" s="103" t="e">
        <f t="shared" si="96"/>
        <v>#VALUE!</v>
      </c>
      <c r="V84" s="105" t="str">
        <f t="shared" ca="1" si="97"/>
        <v/>
      </c>
      <c r="W84" s="103" t="e">
        <f t="shared" si="98"/>
        <v>#VALUE!</v>
      </c>
      <c r="X84" s="105" t="str">
        <f t="shared" ca="1" si="99"/>
        <v/>
      </c>
      <c r="Y84" s="103" t="e">
        <f t="shared" si="100"/>
        <v>#VALUE!</v>
      </c>
      <c r="Z84" s="105" t="str">
        <f t="shared" ca="1" si="101"/>
        <v/>
      </c>
      <c r="AA84" s="103" t="e">
        <f t="shared" si="102"/>
        <v>#VALUE!</v>
      </c>
      <c r="AB84" s="105" t="str">
        <f t="shared" ca="1" si="103"/>
        <v/>
      </c>
      <c r="AC84" s="103" t="e">
        <f t="shared" si="104"/>
        <v>#VALUE!</v>
      </c>
      <c r="AD84" s="105" t="str">
        <f t="shared" ca="1" si="105"/>
        <v/>
      </c>
      <c r="AE84" s="103" t="e">
        <f t="shared" si="106"/>
        <v>#VALUE!</v>
      </c>
      <c r="AF84" s="105" t="str">
        <f t="shared" ca="1" si="107"/>
        <v/>
      </c>
      <c r="AG84" s="103" t="e">
        <f t="shared" si="108"/>
        <v>#VALUE!</v>
      </c>
      <c r="AH84" s="105" t="str">
        <f t="shared" ca="1" si="109"/>
        <v/>
      </c>
    </row>
    <row r="85" spans="1:34" ht="12.75" hidden="1">
      <c r="A85" s="41"/>
      <c r="B85" s="41"/>
      <c r="C85" s="294"/>
      <c r="D85" s="102">
        <v>0.6</v>
      </c>
      <c r="E85" s="103">
        <f t="shared" si="80"/>
        <v>111</v>
      </c>
      <c r="F85" s="105">
        <f t="shared" si="81"/>
        <v>9.8000000000000007</v>
      </c>
      <c r="G85" s="103">
        <f t="shared" si="82"/>
        <v>122.4</v>
      </c>
      <c r="H85" s="105" t="e">
        <f t="shared" ca="1" si="83"/>
        <v>#NAME?</v>
      </c>
      <c r="I85" s="103">
        <f t="shared" si="84"/>
        <v>118.8</v>
      </c>
      <c r="J85" s="105" t="e">
        <f t="shared" ca="1" si="85"/>
        <v>#NAME?</v>
      </c>
      <c r="K85" s="103">
        <f t="shared" si="86"/>
        <v>122.8</v>
      </c>
      <c r="L85" s="105">
        <f t="shared" si="87"/>
        <v>10.9</v>
      </c>
      <c r="M85" s="103">
        <f t="shared" si="88"/>
        <v>118.8</v>
      </c>
      <c r="N85" s="105">
        <f t="shared" si="89"/>
        <v>10.4</v>
      </c>
      <c r="O85" s="103">
        <f t="shared" si="90"/>
        <v>109.8</v>
      </c>
      <c r="P85" s="105" t="e">
        <f t="shared" ca="1" si="91"/>
        <v>#NAME?</v>
      </c>
      <c r="Q85" s="103">
        <f t="shared" si="92"/>
        <v>111.6</v>
      </c>
      <c r="R85" s="105">
        <f t="shared" si="93"/>
        <v>10.9</v>
      </c>
      <c r="S85" s="103" t="e">
        <f t="shared" si="94"/>
        <v>#VALUE!</v>
      </c>
      <c r="T85" s="105" t="str">
        <f t="shared" ca="1" si="95"/>
        <v/>
      </c>
      <c r="U85" s="103" t="e">
        <f t="shared" si="96"/>
        <v>#VALUE!</v>
      </c>
      <c r="V85" s="105" t="str">
        <f t="shared" ca="1" si="97"/>
        <v/>
      </c>
      <c r="W85" s="103" t="e">
        <f t="shared" si="98"/>
        <v>#VALUE!</v>
      </c>
      <c r="X85" s="105" t="str">
        <f t="shared" ca="1" si="99"/>
        <v/>
      </c>
      <c r="Y85" s="103" t="e">
        <f t="shared" si="100"/>
        <v>#VALUE!</v>
      </c>
      <c r="Z85" s="105" t="str">
        <f t="shared" ca="1" si="101"/>
        <v/>
      </c>
      <c r="AA85" s="103" t="e">
        <f t="shared" si="102"/>
        <v>#VALUE!</v>
      </c>
      <c r="AB85" s="105" t="str">
        <f t="shared" ca="1" si="103"/>
        <v/>
      </c>
      <c r="AC85" s="103" t="e">
        <f t="shared" si="104"/>
        <v>#VALUE!</v>
      </c>
      <c r="AD85" s="105" t="str">
        <f t="shared" ca="1" si="105"/>
        <v/>
      </c>
      <c r="AE85" s="103" t="e">
        <f t="shared" si="106"/>
        <v>#VALUE!</v>
      </c>
      <c r="AF85" s="105" t="str">
        <f t="shared" ca="1" si="107"/>
        <v/>
      </c>
      <c r="AG85" s="103" t="e">
        <f t="shared" si="108"/>
        <v>#VALUE!</v>
      </c>
      <c r="AH85" s="105" t="str">
        <f t="shared" ca="1" si="109"/>
        <v/>
      </c>
    </row>
    <row r="86" spans="1:34" ht="12.75" hidden="1">
      <c r="A86" s="41"/>
      <c r="B86" s="41"/>
      <c r="C86" s="294"/>
      <c r="D86" s="102">
        <v>0.65</v>
      </c>
      <c r="E86" s="103">
        <f t="shared" si="80"/>
        <v>116.5</v>
      </c>
      <c r="F86" s="105" t="e">
        <f t="shared" ca="1" si="81"/>
        <v>#NAME?</v>
      </c>
      <c r="G86" s="103">
        <f t="shared" si="82"/>
        <v>127.60000000000001</v>
      </c>
      <c r="H86" s="105" t="e">
        <f t="shared" ca="1" si="83"/>
        <v>#NAME?</v>
      </c>
      <c r="I86" s="103">
        <f t="shared" si="84"/>
        <v>123.7</v>
      </c>
      <c r="J86" s="105" t="e">
        <f t="shared" ca="1" si="85"/>
        <v>#NAME?</v>
      </c>
      <c r="K86" s="103">
        <f t="shared" si="86"/>
        <v>127.7</v>
      </c>
      <c r="L86" s="105">
        <f t="shared" si="87"/>
        <v>11.8</v>
      </c>
      <c r="M86" s="103">
        <f t="shared" si="88"/>
        <v>124.2</v>
      </c>
      <c r="N86" s="105">
        <f t="shared" si="89"/>
        <v>11.2</v>
      </c>
      <c r="O86" s="103">
        <f t="shared" si="90"/>
        <v>114.95</v>
      </c>
      <c r="P86" s="105" t="e">
        <f t="shared" ca="1" si="91"/>
        <v>#NAME?</v>
      </c>
      <c r="Q86" s="103">
        <f t="shared" si="92"/>
        <v>116.65</v>
      </c>
      <c r="R86" s="105">
        <f t="shared" si="93"/>
        <v>11.8</v>
      </c>
      <c r="S86" s="103" t="e">
        <f t="shared" si="94"/>
        <v>#VALUE!</v>
      </c>
      <c r="T86" s="105" t="str">
        <f t="shared" ca="1" si="95"/>
        <v/>
      </c>
      <c r="U86" s="103" t="e">
        <f t="shared" si="96"/>
        <v>#VALUE!</v>
      </c>
      <c r="V86" s="105" t="str">
        <f t="shared" ca="1" si="97"/>
        <v/>
      </c>
      <c r="W86" s="103" t="e">
        <f t="shared" si="98"/>
        <v>#VALUE!</v>
      </c>
      <c r="X86" s="105" t="str">
        <f t="shared" ca="1" si="99"/>
        <v/>
      </c>
      <c r="Y86" s="103" t="e">
        <f t="shared" si="100"/>
        <v>#VALUE!</v>
      </c>
      <c r="Z86" s="105" t="str">
        <f t="shared" ca="1" si="101"/>
        <v/>
      </c>
      <c r="AA86" s="103" t="e">
        <f t="shared" si="102"/>
        <v>#VALUE!</v>
      </c>
      <c r="AB86" s="105" t="str">
        <f t="shared" ca="1" si="103"/>
        <v/>
      </c>
      <c r="AC86" s="103" t="e">
        <f t="shared" si="104"/>
        <v>#VALUE!</v>
      </c>
      <c r="AD86" s="105" t="str">
        <f t="shared" ca="1" si="105"/>
        <v/>
      </c>
      <c r="AE86" s="103" t="e">
        <f t="shared" si="106"/>
        <v>#VALUE!</v>
      </c>
      <c r="AF86" s="105" t="str">
        <f t="shared" ca="1" si="107"/>
        <v/>
      </c>
      <c r="AG86" s="103" t="e">
        <f t="shared" si="108"/>
        <v>#VALUE!</v>
      </c>
      <c r="AH86" s="105" t="str">
        <f t="shared" ca="1" si="109"/>
        <v/>
      </c>
    </row>
    <row r="87" spans="1:34" ht="12.75" hidden="1">
      <c r="A87" s="41"/>
      <c r="B87" s="41"/>
      <c r="C87" s="294"/>
      <c r="D87" s="102">
        <v>0.7</v>
      </c>
      <c r="E87" s="103">
        <f t="shared" si="80"/>
        <v>122</v>
      </c>
      <c r="F87" s="105" t="e">
        <f t="shared" ca="1" si="81"/>
        <v>#NAME?</v>
      </c>
      <c r="G87" s="103">
        <f t="shared" si="82"/>
        <v>132.80000000000001</v>
      </c>
      <c r="H87" s="105" t="e">
        <f t="shared" ca="1" si="83"/>
        <v>#NAME?</v>
      </c>
      <c r="I87" s="103">
        <f t="shared" si="84"/>
        <v>128.6</v>
      </c>
      <c r="J87" s="105" t="e">
        <f t="shared" ca="1" si="85"/>
        <v>#NAME?</v>
      </c>
      <c r="K87" s="103">
        <f t="shared" si="86"/>
        <v>132.6</v>
      </c>
      <c r="L87" s="105">
        <f t="shared" si="87"/>
        <v>12.7</v>
      </c>
      <c r="M87" s="103">
        <f t="shared" si="88"/>
        <v>129.6</v>
      </c>
      <c r="N87" s="105">
        <f t="shared" si="89"/>
        <v>12.1</v>
      </c>
      <c r="O87" s="103">
        <f t="shared" si="90"/>
        <v>120.1</v>
      </c>
      <c r="P87" s="105" t="e">
        <f t="shared" ca="1" si="91"/>
        <v>#NAME?</v>
      </c>
      <c r="Q87" s="103">
        <f t="shared" si="92"/>
        <v>121.69999999999999</v>
      </c>
      <c r="R87" s="105">
        <f t="shared" si="93"/>
        <v>12.7</v>
      </c>
      <c r="S87" s="103" t="e">
        <f t="shared" si="94"/>
        <v>#VALUE!</v>
      </c>
      <c r="T87" s="105" t="str">
        <f t="shared" ca="1" si="95"/>
        <v/>
      </c>
      <c r="U87" s="103" t="e">
        <f t="shared" si="96"/>
        <v>#VALUE!</v>
      </c>
      <c r="V87" s="105" t="str">
        <f t="shared" ca="1" si="97"/>
        <v/>
      </c>
      <c r="W87" s="103" t="e">
        <f t="shared" si="98"/>
        <v>#VALUE!</v>
      </c>
      <c r="X87" s="105" t="str">
        <f t="shared" ca="1" si="99"/>
        <v/>
      </c>
      <c r="Y87" s="103" t="e">
        <f t="shared" si="100"/>
        <v>#VALUE!</v>
      </c>
      <c r="Z87" s="105" t="str">
        <f t="shared" ca="1" si="101"/>
        <v/>
      </c>
      <c r="AA87" s="103" t="e">
        <f t="shared" si="102"/>
        <v>#VALUE!</v>
      </c>
      <c r="AB87" s="105" t="str">
        <f t="shared" ca="1" si="103"/>
        <v/>
      </c>
      <c r="AC87" s="103" t="e">
        <f t="shared" si="104"/>
        <v>#VALUE!</v>
      </c>
      <c r="AD87" s="105" t="str">
        <f t="shared" ca="1" si="105"/>
        <v/>
      </c>
      <c r="AE87" s="103" t="e">
        <f t="shared" si="106"/>
        <v>#VALUE!</v>
      </c>
      <c r="AF87" s="105" t="str">
        <f t="shared" ca="1" si="107"/>
        <v/>
      </c>
      <c r="AG87" s="103" t="e">
        <f t="shared" si="108"/>
        <v>#VALUE!</v>
      </c>
      <c r="AH87" s="105" t="str">
        <f t="shared" ca="1" si="109"/>
        <v/>
      </c>
    </row>
    <row r="88" spans="1:34" ht="12.75" hidden="1">
      <c r="A88" s="41"/>
      <c r="B88" s="41"/>
      <c r="C88" s="294"/>
      <c r="D88" s="102">
        <v>0.75</v>
      </c>
      <c r="E88" s="103">
        <f t="shared" si="80"/>
        <v>127.5</v>
      </c>
      <c r="F88" s="105" t="e">
        <f t="shared" ca="1" si="81"/>
        <v>#NAME?</v>
      </c>
      <c r="G88" s="103">
        <f t="shared" si="82"/>
        <v>138</v>
      </c>
      <c r="H88" s="105" t="e">
        <f t="shared" ca="1" si="83"/>
        <v>#NAME?</v>
      </c>
      <c r="I88" s="103">
        <f t="shared" si="84"/>
        <v>133.5</v>
      </c>
      <c r="J88" s="105" t="e">
        <f t="shared" ca="1" si="85"/>
        <v>#NAME?</v>
      </c>
      <c r="K88" s="103">
        <f t="shared" si="86"/>
        <v>137.5</v>
      </c>
      <c r="L88" s="105">
        <f t="shared" si="87"/>
        <v>13.6</v>
      </c>
      <c r="M88" s="103">
        <f t="shared" si="88"/>
        <v>135</v>
      </c>
      <c r="N88" s="105">
        <f t="shared" si="89"/>
        <v>13</v>
      </c>
      <c r="O88" s="103">
        <f t="shared" si="90"/>
        <v>125.25</v>
      </c>
      <c r="P88" s="105" t="e">
        <f t="shared" ca="1" si="91"/>
        <v>#NAME?</v>
      </c>
      <c r="Q88" s="103">
        <f t="shared" si="92"/>
        <v>126.75</v>
      </c>
      <c r="R88" s="105">
        <f t="shared" si="93"/>
        <v>13.6</v>
      </c>
      <c r="S88" s="103" t="e">
        <f t="shared" si="94"/>
        <v>#VALUE!</v>
      </c>
      <c r="T88" s="105" t="str">
        <f t="shared" ca="1" si="95"/>
        <v/>
      </c>
      <c r="U88" s="103" t="e">
        <f t="shared" si="96"/>
        <v>#VALUE!</v>
      </c>
      <c r="V88" s="105" t="str">
        <f t="shared" ca="1" si="97"/>
        <v/>
      </c>
      <c r="W88" s="103" t="e">
        <f t="shared" si="98"/>
        <v>#VALUE!</v>
      </c>
      <c r="X88" s="105" t="str">
        <f t="shared" ca="1" si="99"/>
        <v/>
      </c>
      <c r="Y88" s="103" t="e">
        <f t="shared" si="100"/>
        <v>#VALUE!</v>
      </c>
      <c r="Z88" s="105" t="str">
        <f t="shared" ca="1" si="101"/>
        <v/>
      </c>
      <c r="AA88" s="103" t="e">
        <f t="shared" si="102"/>
        <v>#VALUE!</v>
      </c>
      <c r="AB88" s="105" t="str">
        <f t="shared" ca="1" si="103"/>
        <v/>
      </c>
      <c r="AC88" s="103" t="e">
        <f t="shared" si="104"/>
        <v>#VALUE!</v>
      </c>
      <c r="AD88" s="105" t="str">
        <f t="shared" ca="1" si="105"/>
        <v/>
      </c>
      <c r="AE88" s="103" t="e">
        <f t="shared" si="106"/>
        <v>#VALUE!</v>
      </c>
      <c r="AF88" s="105" t="str">
        <f t="shared" ca="1" si="107"/>
        <v/>
      </c>
      <c r="AG88" s="103" t="e">
        <f t="shared" si="108"/>
        <v>#VALUE!</v>
      </c>
      <c r="AH88" s="105" t="str">
        <f t="shared" ca="1" si="109"/>
        <v/>
      </c>
    </row>
    <row r="89" spans="1:34" ht="12.75" hidden="1">
      <c r="A89" s="41"/>
      <c r="B89" s="41"/>
      <c r="C89" s="294"/>
      <c r="D89" s="102">
        <v>0.8</v>
      </c>
      <c r="E89" s="103">
        <f t="shared" si="80"/>
        <v>133</v>
      </c>
      <c r="F89" s="105" t="e">
        <f t="shared" ca="1" si="81"/>
        <v>#NAME?</v>
      </c>
      <c r="G89" s="103">
        <f t="shared" si="82"/>
        <v>143.19999999999999</v>
      </c>
      <c r="H89" s="105" t="e">
        <f t="shared" ca="1" si="83"/>
        <v>#NAME?</v>
      </c>
      <c r="I89" s="103">
        <f t="shared" si="84"/>
        <v>138.4</v>
      </c>
      <c r="J89" s="105" t="e">
        <f t="shared" ca="1" si="85"/>
        <v>#NAME?</v>
      </c>
      <c r="K89" s="103">
        <f t="shared" si="86"/>
        <v>142.4</v>
      </c>
      <c r="L89" s="105">
        <f t="shared" si="87"/>
        <v>14.5</v>
      </c>
      <c r="M89" s="103">
        <f t="shared" si="88"/>
        <v>140.4</v>
      </c>
      <c r="N89" s="105">
        <f t="shared" si="89"/>
        <v>13.8</v>
      </c>
      <c r="O89" s="103">
        <f t="shared" si="90"/>
        <v>130.4</v>
      </c>
      <c r="P89" s="105" t="e">
        <f t="shared" ca="1" si="91"/>
        <v>#NAME?</v>
      </c>
      <c r="Q89" s="103">
        <f t="shared" si="92"/>
        <v>131.80000000000001</v>
      </c>
      <c r="R89" s="105">
        <f t="shared" si="93"/>
        <v>14.5</v>
      </c>
      <c r="S89" s="103" t="e">
        <f t="shared" si="94"/>
        <v>#VALUE!</v>
      </c>
      <c r="T89" s="105" t="str">
        <f t="shared" ca="1" si="95"/>
        <v/>
      </c>
      <c r="U89" s="103" t="e">
        <f t="shared" si="96"/>
        <v>#VALUE!</v>
      </c>
      <c r="V89" s="105" t="str">
        <f t="shared" ca="1" si="97"/>
        <v/>
      </c>
      <c r="W89" s="103" t="e">
        <f t="shared" si="98"/>
        <v>#VALUE!</v>
      </c>
      <c r="X89" s="105" t="str">
        <f t="shared" ca="1" si="99"/>
        <v/>
      </c>
      <c r="Y89" s="103" t="e">
        <f t="shared" si="100"/>
        <v>#VALUE!</v>
      </c>
      <c r="Z89" s="105" t="str">
        <f t="shared" ca="1" si="101"/>
        <v/>
      </c>
      <c r="AA89" s="103" t="e">
        <f t="shared" si="102"/>
        <v>#VALUE!</v>
      </c>
      <c r="AB89" s="105" t="str">
        <f t="shared" ca="1" si="103"/>
        <v/>
      </c>
      <c r="AC89" s="103" t="e">
        <f t="shared" si="104"/>
        <v>#VALUE!</v>
      </c>
      <c r="AD89" s="105" t="str">
        <f t="shared" ca="1" si="105"/>
        <v/>
      </c>
      <c r="AE89" s="103" t="e">
        <f t="shared" si="106"/>
        <v>#VALUE!</v>
      </c>
      <c r="AF89" s="105" t="str">
        <f t="shared" ca="1" si="107"/>
        <v/>
      </c>
      <c r="AG89" s="103" t="e">
        <f t="shared" si="108"/>
        <v>#VALUE!</v>
      </c>
      <c r="AH89" s="105" t="str">
        <f t="shared" ca="1" si="109"/>
        <v/>
      </c>
    </row>
    <row r="90" spans="1:34" ht="12.75" hidden="1">
      <c r="A90" s="41"/>
      <c r="B90" s="41"/>
      <c r="C90" s="294"/>
      <c r="D90" s="102">
        <v>0.85</v>
      </c>
      <c r="E90" s="103">
        <f t="shared" si="80"/>
        <v>138.5</v>
      </c>
      <c r="F90" s="105" t="e">
        <f t="shared" ca="1" si="81"/>
        <v>#NAME?</v>
      </c>
      <c r="G90" s="103">
        <f t="shared" si="82"/>
        <v>148.39999999999998</v>
      </c>
      <c r="H90" s="105" t="e">
        <f t="shared" ca="1" si="83"/>
        <v>#NAME?</v>
      </c>
      <c r="I90" s="103">
        <f t="shared" si="84"/>
        <v>143.30000000000001</v>
      </c>
      <c r="J90" s="105" t="e">
        <f t="shared" ca="1" si="85"/>
        <v>#NAME?</v>
      </c>
      <c r="K90" s="103">
        <f t="shared" si="86"/>
        <v>147.30000000000001</v>
      </c>
      <c r="L90" s="105">
        <f t="shared" si="87"/>
        <v>15.4</v>
      </c>
      <c r="M90" s="103">
        <f t="shared" si="88"/>
        <v>145.80000000000001</v>
      </c>
      <c r="N90" s="105">
        <f t="shared" si="89"/>
        <v>14.7</v>
      </c>
      <c r="O90" s="103">
        <f t="shared" si="90"/>
        <v>135.55000000000001</v>
      </c>
      <c r="P90" s="105" t="e">
        <f t="shared" ca="1" si="91"/>
        <v>#NAME?</v>
      </c>
      <c r="Q90" s="103">
        <f t="shared" si="92"/>
        <v>136.85</v>
      </c>
      <c r="R90" s="105">
        <f t="shared" si="93"/>
        <v>15.4</v>
      </c>
      <c r="S90" s="103" t="e">
        <f t="shared" si="94"/>
        <v>#VALUE!</v>
      </c>
      <c r="T90" s="105" t="str">
        <f t="shared" ca="1" si="95"/>
        <v/>
      </c>
      <c r="U90" s="103" t="e">
        <f t="shared" si="96"/>
        <v>#VALUE!</v>
      </c>
      <c r="V90" s="105" t="str">
        <f t="shared" ca="1" si="97"/>
        <v/>
      </c>
      <c r="W90" s="103" t="e">
        <f t="shared" si="98"/>
        <v>#VALUE!</v>
      </c>
      <c r="X90" s="105" t="str">
        <f t="shared" ca="1" si="99"/>
        <v/>
      </c>
      <c r="Y90" s="103" t="e">
        <f t="shared" si="100"/>
        <v>#VALUE!</v>
      </c>
      <c r="Z90" s="105" t="str">
        <f t="shared" ca="1" si="101"/>
        <v/>
      </c>
      <c r="AA90" s="103" t="e">
        <f t="shared" si="102"/>
        <v>#VALUE!</v>
      </c>
      <c r="AB90" s="105" t="str">
        <f t="shared" ca="1" si="103"/>
        <v/>
      </c>
      <c r="AC90" s="103" t="e">
        <f t="shared" si="104"/>
        <v>#VALUE!</v>
      </c>
      <c r="AD90" s="105" t="str">
        <f t="shared" ca="1" si="105"/>
        <v/>
      </c>
      <c r="AE90" s="103" t="e">
        <f t="shared" si="106"/>
        <v>#VALUE!</v>
      </c>
      <c r="AF90" s="105" t="str">
        <f t="shared" ca="1" si="107"/>
        <v/>
      </c>
      <c r="AG90" s="103" t="e">
        <f t="shared" si="108"/>
        <v>#VALUE!</v>
      </c>
      <c r="AH90" s="105" t="str">
        <f t="shared" ca="1" si="109"/>
        <v/>
      </c>
    </row>
    <row r="91" spans="1:34" ht="12.75" hidden="1">
      <c r="A91" s="41"/>
      <c r="B91" s="41"/>
      <c r="C91" s="294"/>
      <c r="D91" s="102">
        <v>0.9</v>
      </c>
      <c r="E91" s="103">
        <f t="shared" si="80"/>
        <v>144</v>
      </c>
      <c r="F91" s="105" t="e">
        <f t="shared" ca="1" si="81"/>
        <v>#NAME?</v>
      </c>
      <c r="G91" s="103">
        <f t="shared" si="82"/>
        <v>153.60000000000002</v>
      </c>
      <c r="H91" s="105" t="e">
        <f t="shared" ca="1" si="83"/>
        <v>#NAME?</v>
      </c>
      <c r="I91" s="103">
        <f t="shared" si="84"/>
        <v>148.19999999999999</v>
      </c>
      <c r="J91" s="105" t="e">
        <f t="shared" ca="1" si="85"/>
        <v>#NAME?</v>
      </c>
      <c r="K91" s="103">
        <f t="shared" si="86"/>
        <v>152.19999999999999</v>
      </c>
      <c r="L91" s="105">
        <f t="shared" si="87"/>
        <v>16.3</v>
      </c>
      <c r="M91" s="103">
        <f t="shared" si="88"/>
        <v>151.19999999999999</v>
      </c>
      <c r="N91" s="105">
        <f t="shared" si="89"/>
        <v>15.6</v>
      </c>
      <c r="O91" s="103">
        <f t="shared" si="90"/>
        <v>140.69999999999999</v>
      </c>
      <c r="P91" s="105" t="e">
        <f t="shared" ca="1" si="91"/>
        <v>#NAME?</v>
      </c>
      <c r="Q91" s="103">
        <f t="shared" si="92"/>
        <v>141.9</v>
      </c>
      <c r="R91" s="105">
        <f t="shared" si="93"/>
        <v>16.3</v>
      </c>
      <c r="S91" s="103" t="e">
        <f t="shared" si="94"/>
        <v>#VALUE!</v>
      </c>
      <c r="T91" s="105" t="str">
        <f t="shared" ca="1" si="95"/>
        <v/>
      </c>
      <c r="U91" s="103" t="e">
        <f t="shared" si="96"/>
        <v>#VALUE!</v>
      </c>
      <c r="V91" s="105" t="str">
        <f t="shared" ca="1" si="97"/>
        <v/>
      </c>
      <c r="W91" s="103" t="e">
        <f t="shared" si="98"/>
        <v>#VALUE!</v>
      </c>
      <c r="X91" s="105" t="str">
        <f t="shared" ca="1" si="99"/>
        <v/>
      </c>
      <c r="Y91" s="103" t="e">
        <f t="shared" si="100"/>
        <v>#VALUE!</v>
      </c>
      <c r="Z91" s="105" t="str">
        <f t="shared" ca="1" si="101"/>
        <v/>
      </c>
      <c r="AA91" s="103" t="e">
        <f t="shared" si="102"/>
        <v>#VALUE!</v>
      </c>
      <c r="AB91" s="105" t="str">
        <f t="shared" ca="1" si="103"/>
        <v/>
      </c>
      <c r="AC91" s="103" t="e">
        <f t="shared" si="104"/>
        <v>#VALUE!</v>
      </c>
      <c r="AD91" s="105" t="str">
        <f t="shared" ca="1" si="105"/>
        <v/>
      </c>
      <c r="AE91" s="103" t="e">
        <f t="shared" si="106"/>
        <v>#VALUE!</v>
      </c>
      <c r="AF91" s="105" t="str">
        <f t="shared" ca="1" si="107"/>
        <v/>
      </c>
      <c r="AG91" s="103" t="e">
        <f t="shared" si="108"/>
        <v>#VALUE!</v>
      </c>
      <c r="AH91" s="105" t="str">
        <f t="shared" ca="1" si="109"/>
        <v/>
      </c>
    </row>
    <row r="92" spans="1:34" ht="12.75" hidden="1">
      <c r="A92" s="41"/>
      <c r="B92" s="41"/>
      <c r="C92" s="294"/>
      <c r="D92" s="102">
        <v>0.95</v>
      </c>
      <c r="E92" s="103">
        <f t="shared" si="80"/>
        <v>149.5</v>
      </c>
      <c r="F92" s="105" t="e">
        <f t="shared" ca="1" si="81"/>
        <v>#NAME?</v>
      </c>
      <c r="G92" s="103">
        <f t="shared" si="82"/>
        <v>158.80000000000001</v>
      </c>
      <c r="H92" s="105" t="e">
        <f t="shared" ca="1" si="83"/>
        <v>#NAME?</v>
      </c>
      <c r="I92" s="103">
        <f t="shared" si="84"/>
        <v>153.1</v>
      </c>
      <c r="J92" s="105" t="e">
        <f t="shared" ca="1" si="85"/>
        <v>#NAME?</v>
      </c>
      <c r="K92" s="103">
        <f t="shared" si="86"/>
        <v>157.1</v>
      </c>
      <c r="L92" s="105">
        <f t="shared" si="87"/>
        <v>17.2</v>
      </c>
      <c r="M92" s="103">
        <f t="shared" si="88"/>
        <v>156.6</v>
      </c>
      <c r="N92" s="105">
        <f t="shared" si="89"/>
        <v>16.399999999999999</v>
      </c>
      <c r="O92" s="103">
        <f t="shared" si="90"/>
        <v>145.85</v>
      </c>
      <c r="P92" s="105" t="e">
        <f t="shared" ca="1" si="91"/>
        <v>#NAME?</v>
      </c>
      <c r="Q92" s="103">
        <f t="shared" si="92"/>
        <v>146.94999999999999</v>
      </c>
      <c r="R92" s="105">
        <f t="shared" si="93"/>
        <v>17.2</v>
      </c>
      <c r="S92" s="103" t="e">
        <f t="shared" si="94"/>
        <v>#VALUE!</v>
      </c>
      <c r="T92" s="105" t="str">
        <f t="shared" ca="1" si="95"/>
        <v/>
      </c>
      <c r="U92" s="103" t="e">
        <f t="shared" si="96"/>
        <v>#VALUE!</v>
      </c>
      <c r="V92" s="105" t="str">
        <f t="shared" ca="1" si="97"/>
        <v/>
      </c>
      <c r="W92" s="103" t="e">
        <f t="shared" si="98"/>
        <v>#VALUE!</v>
      </c>
      <c r="X92" s="105" t="str">
        <f t="shared" ca="1" si="99"/>
        <v/>
      </c>
      <c r="Y92" s="103" t="e">
        <f t="shared" si="100"/>
        <v>#VALUE!</v>
      </c>
      <c r="Z92" s="105" t="str">
        <f t="shared" ca="1" si="101"/>
        <v/>
      </c>
      <c r="AA92" s="103" t="e">
        <f t="shared" si="102"/>
        <v>#VALUE!</v>
      </c>
      <c r="AB92" s="105" t="str">
        <f t="shared" ca="1" si="103"/>
        <v/>
      </c>
      <c r="AC92" s="103" t="e">
        <f t="shared" si="104"/>
        <v>#VALUE!</v>
      </c>
      <c r="AD92" s="105" t="str">
        <f t="shared" ca="1" si="105"/>
        <v/>
      </c>
      <c r="AE92" s="103" t="e">
        <f t="shared" si="106"/>
        <v>#VALUE!</v>
      </c>
      <c r="AF92" s="105" t="str">
        <f t="shared" ca="1" si="107"/>
        <v/>
      </c>
      <c r="AG92" s="103" t="e">
        <f t="shared" si="108"/>
        <v>#VALUE!</v>
      </c>
      <c r="AH92" s="105" t="str">
        <f t="shared" ca="1" si="109"/>
        <v/>
      </c>
    </row>
    <row r="93" spans="1:34" ht="12.75" hidden="1">
      <c r="A93" s="41"/>
      <c r="B93" s="41"/>
      <c r="C93" s="294"/>
      <c r="D93" s="102">
        <v>1</v>
      </c>
      <c r="E93" s="103">
        <f t="shared" si="80"/>
        <v>155</v>
      </c>
      <c r="F93" s="105" t="e">
        <f t="shared" ca="1" si="81"/>
        <v>#NAME?</v>
      </c>
      <c r="G93" s="103">
        <f t="shared" si="82"/>
        <v>164</v>
      </c>
      <c r="H93" s="105" t="e">
        <f t="shared" ca="1" si="83"/>
        <v>#NAME?</v>
      </c>
      <c r="I93" s="103">
        <f t="shared" si="84"/>
        <v>158</v>
      </c>
      <c r="J93" s="105" t="e">
        <f t="shared" ca="1" si="85"/>
        <v>#NAME?</v>
      </c>
      <c r="K93" s="103">
        <f t="shared" si="86"/>
        <v>162</v>
      </c>
      <c r="L93" s="105">
        <f t="shared" si="87"/>
        <v>18.2</v>
      </c>
      <c r="M93" s="103">
        <f t="shared" si="88"/>
        <v>162</v>
      </c>
      <c r="N93" s="105">
        <f t="shared" si="89"/>
        <v>17.3</v>
      </c>
      <c r="O93" s="103">
        <f t="shared" si="90"/>
        <v>151</v>
      </c>
      <c r="P93" s="105" t="e">
        <f t="shared" ca="1" si="91"/>
        <v>#NAME?</v>
      </c>
      <c r="Q93" s="103">
        <f t="shared" si="92"/>
        <v>152</v>
      </c>
      <c r="R93" s="105">
        <f t="shared" si="93"/>
        <v>18.100000000000001</v>
      </c>
      <c r="S93" s="103" t="e">
        <f t="shared" si="94"/>
        <v>#VALUE!</v>
      </c>
      <c r="T93" s="105" t="str">
        <f t="shared" ca="1" si="95"/>
        <v/>
      </c>
      <c r="U93" s="103" t="e">
        <f t="shared" si="96"/>
        <v>#VALUE!</v>
      </c>
      <c r="V93" s="105" t="str">
        <f t="shared" ca="1" si="97"/>
        <v/>
      </c>
      <c r="W93" s="103" t="e">
        <f t="shared" si="98"/>
        <v>#VALUE!</v>
      </c>
      <c r="X93" s="105" t="str">
        <f t="shared" ca="1" si="99"/>
        <v/>
      </c>
      <c r="Y93" s="103" t="e">
        <f t="shared" si="100"/>
        <v>#VALUE!</v>
      </c>
      <c r="Z93" s="105" t="str">
        <f t="shared" ca="1" si="101"/>
        <v/>
      </c>
      <c r="AA93" s="103" t="e">
        <f t="shared" si="102"/>
        <v>#VALUE!</v>
      </c>
      <c r="AB93" s="105" t="str">
        <f t="shared" ca="1" si="103"/>
        <v/>
      </c>
      <c r="AC93" s="103" t="e">
        <f t="shared" si="104"/>
        <v>#VALUE!</v>
      </c>
      <c r="AD93" s="105" t="str">
        <f t="shared" ca="1" si="105"/>
        <v/>
      </c>
      <c r="AE93" s="103" t="e">
        <f t="shared" si="106"/>
        <v>#VALUE!</v>
      </c>
      <c r="AF93" s="105" t="str">
        <f t="shared" ca="1" si="107"/>
        <v/>
      </c>
      <c r="AG93" s="103" t="e">
        <f t="shared" si="108"/>
        <v>#VALUE!</v>
      </c>
      <c r="AH93" s="105" t="str">
        <f t="shared" ca="1" si="109"/>
        <v/>
      </c>
    </row>
    <row r="94" spans="1:34" ht="12.75" hidden="1">
      <c r="A94" s="41"/>
      <c r="B94" s="41"/>
      <c r="C94" s="294"/>
      <c r="D94" s="102">
        <v>1.1000000000000001</v>
      </c>
      <c r="E94" s="103" t="str">
        <f t="shared" si="80"/>
        <v>-</v>
      </c>
      <c r="F94" s="105" t="e">
        <f t="shared" ca="1" si="81"/>
        <v>#NAME?</v>
      </c>
      <c r="G94" s="103" t="str">
        <f t="shared" si="82"/>
        <v>-</v>
      </c>
      <c r="H94" s="105" t="e">
        <f t="shared" ca="1" si="83"/>
        <v>#NAME?</v>
      </c>
      <c r="I94" s="103" t="str">
        <f t="shared" si="84"/>
        <v>-</v>
      </c>
      <c r="J94" s="105" t="e">
        <f t="shared" ca="1" si="85"/>
        <v>#NAME?</v>
      </c>
      <c r="K94" s="103" t="str">
        <f t="shared" si="86"/>
        <v>-</v>
      </c>
      <c r="L94" s="105">
        <f t="shared" si="87"/>
        <v>20</v>
      </c>
      <c r="M94" s="103" t="str">
        <f t="shared" si="88"/>
        <v>-</v>
      </c>
      <c r="N94" s="105" t="e">
        <f t="shared" ca="1" si="89"/>
        <v>#NAME?</v>
      </c>
      <c r="O94" s="103" t="str">
        <f t="shared" si="90"/>
        <v>-</v>
      </c>
      <c r="P94" s="105" t="e">
        <f t="shared" ca="1" si="91"/>
        <v>#NAME?</v>
      </c>
      <c r="Q94" s="103" t="str">
        <f t="shared" si="92"/>
        <v>-</v>
      </c>
      <c r="R94" s="105">
        <f t="shared" si="93"/>
        <v>21.1</v>
      </c>
      <c r="S94" s="103" t="str">
        <f t="shared" si="94"/>
        <v>-</v>
      </c>
      <c r="T94" s="105" t="str">
        <f t="shared" si="95"/>
        <v/>
      </c>
      <c r="U94" s="103" t="str">
        <f t="shared" si="96"/>
        <v>-</v>
      </c>
      <c r="V94" s="105" t="str">
        <f t="shared" si="97"/>
        <v/>
      </c>
      <c r="W94" s="103" t="str">
        <f t="shared" si="98"/>
        <v>-</v>
      </c>
      <c r="X94" s="105" t="str">
        <f t="shared" si="99"/>
        <v/>
      </c>
      <c r="Y94" s="103" t="str">
        <f t="shared" si="100"/>
        <v>-</v>
      </c>
      <c r="Z94" s="105" t="str">
        <f t="shared" si="101"/>
        <v/>
      </c>
      <c r="AA94" s="103" t="str">
        <f t="shared" si="102"/>
        <v>-</v>
      </c>
      <c r="AB94" s="105" t="str">
        <f t="shared" si="103"/>
        <v/>
      </c>
      <c r="AC94" s="103" t="str">
        <f t="shared" si="104"/>
        <v>-</v>
      </c>
      <c r="AD94" s="105" t="str">
        <f t="shared" si="105"/>
        <v/>
      </c>
      <c r="AE94" s="103" t="str">
        <f t="shared" si="106"/>
        <v>-</v>
      </c>
      <c r="AF94" s="105" t="str">
        <f t="shared" si="107"/>
        <v/>
      </c>
      <c r="AG94" s="103" t="str">
        <f t="shared" si="108"/>
        <v>-</v>
      </c>
      <c r="AH94" s="105" t="str">
        <f t="shared" si="109"/>
        <v/>
      </c>
    </row>
    <row r="95" spans="1:34" ht="12.75" hidden="1">
      <c r="A95" s="41"/>
      <c r="B95" s="41"/>
      <c r="C95" s="294"/>
      <c r="D95" s="102">
        <v>1.2</v>
      </c>
      <c r="E95" s="103" t="str">
        <f t="shared" si="80"/>
        <v>-</v>
      </c>
      <c r="F95" s="105" t="e">
        <f t="shared" ca="1" si="81"/>
        <v>#NAME?</v>
      </c>
      <c r="G95" s="103" t="str">
        <f t="shared" si="82"/>
        <v>-</v>
      </c>
      <c r="H95" s="105" t="e">
        <f t="shared" ca="1" si="83"/>
        <v>#NAME?</v>
      </c>
      <c r="I95" s="103" t="str">
        <f t="shared" si="84"/>
        <v>-</v>
      </c>
      <c r="J95" s="105" t="e">
        <f t="shared" ca="1" si="85"/>
        <v>#NAME?</v>
      </c>
      <c r="K95" s="103" t="str">
        <f t="shared" si="86"/>
        <v>-</v>
      </c>
      <c r="L95" s="105">
        <f t="shared" si="87"/>
        <v>21.8</v>
      </c>
      <c r="M95" s="103" t="str">
        <f t="shared" si="88"/>
        <v>-</v>
      </c>
      <c r="N95" s="105" t="e">
        <f t="shared" ca="1" si="89"/>
        <v>#NAME?</v>
      </c>
      <c r="O95" s="103" t="str">
        <f t="shared" si="90"/>
        <v>-</v>
      </c>
      <c r="P95" s="105" t="e">
        <f t="shared" ca="1" si="91"/>
        <v>#NAME?</v>
      </c>
      <c r="Q95" s="103" t="str">
        <f t="shared" si="92"/>
        <v>-</v>
      </c>
      <c r="R95" s="105">
        <f t="shared" si="93"/>
        <v>23.1</v>
      </c>
      <c r="S95" s="103" t="str">
        <f t="shared" si="94"/>
        <v>-</v>
      </c>
      <c r="T95" s="105" t="str">
        <f t="shared" si="95"/>
        <v/>
      </c>
      <c r="U95" s="103" t="str">
        <f t="shared" si="96"/>
        <v>-</v>
      </c>
      <c r="V95" s="105" t="str">
        <f t="shared" si="97"/>
        <v/>
      </c>
      <c r="W95" s="103" t="str">
        <f t="shared" si="98"/>
        <v>-</v>
      </c>
      <c r="X95" s="105" t="str">
        <f t="shared" si="99"/>
        <v/>
      </c>
      <c r="Y95" s="103" t="str">
        <f t="shared" si="100"/>
        <v>-</v>
      </c>
      <c r="Z95" s="105" t="str">
        <f t="shared" si="101"/>
        <v/>
      </c>
      <c r="AA95" s="103" t="str">
        <f t="shared" si="102"/>
        <v>-</v>
      </c>
      <c r="AB95" s="105" t="str">
        <f t="shared" si="103"/>
        <v/>
      </c>
      <c r="AC95" s="103" t="str">
        <f t="shared" si="104"/>
        <v>-</v>
      </c>
      <c r="AD95" s="105" t="str">
        <f t="shared" si="105"/>
        <v/>
      </c>
      <c r="AE95" s="103" t="str">
        <f t="shared" si="106"/>
        <v>-</v>
      </c>
      <c r="AF95" s="105" t="str">
        <f t="shared" si="107"/>
        <v/>
      </c>
      <c r="AG95" s="103" t="str">
        <f t="shared" si="108"/>
        <v>-</v>
      </c>
      <c r="AH95" s="105" t="str">
        <f t="shared" si="109"/>
        <v/>
      </c>
    </row>
    <row r="96" spans="1:34" ht="12.75" hidden="1">
      <c r="A96" s="41"/>
      <c r="B96" s="41"/>
      <c r="C96" s="76"/>
      <c r="D96" s="102"/>
      <c r="E96" s="103"/>
      <c r="F96" s="105"/>
      <c r="G96" s="103"/>
      <c r="H96" s="105"/>
      <c r="I96" s="103"/>
      <c r="J96" s="105"/>
      <c r="K96" s="103"/>
      <c r="L96" s="105"/>
      <c r="M96" s="103"/>
      <c r="N96" s="105"/>
      <c r="O96" s="103"/>
      <c r="P96" s="105"/>
      <c r="Q96" s="103"/>
      <c r="R96" s="105"/>
      <c r="S96" s="103"/>
      <c r="T96" s="105"/>
      <c r="U96" s="103"/>
      <c r="V96" s="105"/>
      <c r="W96" s="103"/>
      <c r="X96" s="105"/>
      <c r="Y96" s="103"/>
      <c r="Z96" s="105"/>
      <c r="AA96" s="103"/>
      <c r="AB96" s="105"/>
      <c r="AC96" s="103"/>
      <c r="AD96" s="105"/>
      <c r="AE96" s="103"/>
      <c r="AF96" s="105"/>
      <c r="AG96" s="103"/>
      <c r="AH96" s="105"/>
    </row>
    <row r="97" spans="1:34" ht="12.75" hidden="1">
      <c r="A97" s="41"/>
      <c r="B97" s="41"/>
      <c r="C97" s="76" t="str">
        <f t="shared" ref="C97:C99" si="110">"Av"&amp;MAX(E97:AH97)</f>
        <v>Av10</v>
      </c>
      <c r="D97" s="102"/>
      <c r="E97" s="12">
        <f t="shared" ref="E97:AH97" si="111">IF(E$15&lt;&gt;"",MID(E1,3,2)+0)</f>
        <v>4</v>
      </c>
      <c r="F97" s="12" t="b">
        <f t="shared" si="111"/>
        <v>0</v>
      </c>
      <c r="G97" s="12">
        <f t="shared" si="111"/>
        <v>5</v>
      </c>
      <c r="H97" s="12" t="b">
        <f t="shared" si="111"/>
        <v>0</v>
      </c>
      <c r="I97" s="12">
        <f t="shared" si="111"/>
        <v>6</v>
      </c>
      <c r="J97" s="12" t="b">
        <f t="shared" si="111"/>
        <v>0</v>
      </c>
      <c r="K97" s="12">
        <f t="shared" si="111"/>
        <v>7</v>
      </c>
      <c r="L97" s="12" t="b">
        <f t="shared" si="111"/>
        <v>0</v>
      </c>
      <c r="M97" s="12">
        <f t="shared" si="111"/>
        <v>8</v>
      </c>
      <c r="N97" s="12" t="b">
        <f t="shared" si="111"/>
        <v>0</v>
      </c>
      <c r="O97" s="12">
        <f t="shared" si="111"/>
        <v>9</v>
      </c>
      <c r="P97" s="12" t="b">
        <f t="shared" si="111"/>
        <v>0</v>
      </c>
      <c r="Q97" s="12">
        <f t="shared" si="111"/>
        <v>10</v>
      </c>
      <c r="R97" s="12" t="b">
        <f t="shared" si="111"/>
        <v>0</v>
      </c>
      <c r="S97" s="12" t="b">
        <f t="shared" si="111"/>
        <v>0</v>
      </c>
      <c r="T97" s="12" t="b">
        <f t="shared" si="111"/>
        <v>0</v>
      </c>
      <c r="U97" s="12" t="b">
        <f t="shared" si="111"/>
        <v>0</v>
      </c>
      <c r="V97" s="12" t="b">
        <f t="shared" si="111"/>
        <v>0</v>
      </c>
      <c r="W97" s="12" t="b">
        <f t="shared" si="111"/>
        <v>0</v>
      </c>
      <c r="X97" s="12" t="b">
        <f t="shared" si="111"/>
        <v>0</v>
      </c>
      <c r="Y97" s="12" t="b">
        <f t="shared" si="111"/>
        <v>0</v>
      </c>
      <c r="Z97" s="12" t="b">
        <f t="shared" si="111"/>
        <v>0</v>
      </c>
      <c r="AA97" s="12" t="b">
        <f t="shared" si="111"/>
        <v>0</v>
      </c>
      <c r="AB97" s="12" t="b">
        <f t="shared" si="111"/>
        <v>0</v>
      </c>
      <c r="AC97" s="12" t="b">
        <f t="shared" si="111"/>
        <v>0</v>
      </c>
      <c r="AD97" s="12" t="b">
        <f t="shared" si="111"/>
        <v>0</v>
      </c>
      <c r="AE97" s="12" t="b">
        <f t="shared" si="111"/>
        <v>0</v>
      </c>
      <c r="AF97" s="12" t="b">
        <f t="shared" si="111"/>
        <v>0</v>
      </c>
      <c r="AG97" s="12" t="b">
        <f t="shared" si="111"/>
        <v>0</v>
      </c>
      <c r="AH97" s="12" t="b">
        <f t="shared" si="111"/>
        <v>0</v>
      </c>
    </row>
    <row r="98" spans="1:34" ht="12.75" hidden="1">
      <c r="A98" s="41"/>
      <c r="B98" s="41"/>
      <c r="C98" s="76" t="str">
        <f t="shared" si="110"/>
        <v>Av10</v>
      </c>
      <c r="D98" s="102"/>
      <c r="E98" s="12">
        <f t="shared" ref="E98:AH98" si="112">IF(E$15="Teste de Esteira Progressiva",MID(E1,3,2)+0)</f>
        <v>4</v>
      </c>
      <c r="F98" s="12" t="b">
        <f t="shared" si="112"/>
        <v>0</v>
      </c>
      <c r="G98" s="12">
        <f t="shared" si="112"/>
        <v>5</v>
      </c>
      <c r="H98" s="12" t="b">
        <f t="shared" si="112"/>
        <v>0</v>
      </c>
      <c r="I98" s="12">
        <f t="shared" si="112"/>
        <v>6</v>
      </c>
      <c r="J98" s="12" t="b">
        <f t="shared" si="112"/>
        <v>0</v>
      </c>
      <c r="K98" s="12">
        <f t="shared" si="112"/>
        <v>7</v>
      </c>
      <c r="L98" s="12" t="b">
        <f t="shared" si="112"/>
        <v>0</v>
      </c>
      <c r="M98" s="12">
        <f t="shared" si="112"/>
        <v>8</v>
      </c>
      <c r="N98" s="12" t="b">
        <f t="shared" si="112"/>
        <v>0</v>
      </c>
      <c r="O98" s="12">
        <f t="shared" si="112"/>
        <v>9</v>
      </c>
      <c r="P98" s="12" t="b">
        <f t="shared" si="112"/>
        <v>0</v>
      </c>
      <c r="Q98" s="12">
        <f t="shared" si="112"/>
        <v>10</v>
      </c>
      <c r="R98" s="12" t="b">
        <f t="shared" si="112"/>
        <v>0</v>
      </c>
      <c r="S98" s="12" t="b">
        <f t="shared" si="112"/>
        <v>0</v>
      </c>
      <c r="T98" s="12" t="b">
        <f t="shared" si="112"/>
        <v>0</v>
      </c>
      <c r="U98" s="12" t="b">
        <f t="shared" si="112"/>
        <v>0</v>
      </c>
      <c r="V98" s="12" t="b">
        <f t="shared" si="112"/>
        <v>0</v>
      </c>
      <c r="W98" s="12" t="b">
        <f t="shared" si="112"/>
        <v>0</v>
      </c>
      <c r="X98" s="12" t="b">
        <f t="shared" si="112"/>
        <v>0</v>
      </c>
      <c r="Y98" s="12" t="b">
        <f t="shared" si="112"/>
        <v>0</v>
      </c>
      <c r="Z98" s="12" t="b">
        <f t="shared" si="112"/>
        <v>0</v>
      </c>
      <c r="AA98" s="12" t="b">
        <f t="shared" si="112"/>
        <v>0</v>
      </c>
      <c r="AB98" s="12" t="b">
        <f t="shared" si="112"/>
        <v>0</v>
      </c>
      <c r="AC98" s="12" t="b">
        <f t="shared" si="112"/>
        <v>0</v>
      </c>
      <c r="AD98" s="12" t="b">
        <f t="shared" si="112"/>
        <v>0</v>
      </c>
      <c r="AE98" s="12" t="b">
        <f t="shared" si="112"/>
        <v>0</v>
      </c>
      <c r="AF98" s="12" t="b">
        <f t="shared" si="112"/>
        <v>0</v>
      </c>
      <c r="AG98" s="12" t="b">
        <f t="shared" si="112"/>
        <v>0</v>
      </c>
      <c r="AH98" s="12" t="b">
        <f t="shared" si="112"/>
        <v>0</v>
      </c>
    </row>
    <row r="99" spans="1:34" ht="12.75" hidden="1">
      <c r="A99" s="41"/>
      <c r="B99" s="41"/>
      <c r="C99" s="76" t="str">
        <f t="shared" si="110"/>
        <v>Av0</v>
      </c>
      <c r="D99" s="102"/>
      <c r="E99" s="12" t="b">
        <f t="shared" ref="E99:AH99" si="113">IF(E$15="Teste Bicicleta ergométrica Balke",MID(E1,3,2)+0)</f>
        <v>0</v>
      </c>
      <c r="F99" s="12" t="b">
        <f t="shared" si="113"/>
        <v>0</v>
      </c>
      <c r="G99" s="12" t="b">
        <f t="shared" si="113"/>
        <v>0</v>
      </c>
      <c r="H99" s="12" t="b">
        <f t="shared" si="113"/>
        <v>0</v>
      </c>
      <c r="I99" s="12" t="b">
        <f t="shared" si="113"/>
        <v>0</v>
      </c>
      <c r="J99" s="12" t="b">
        <f t="shared" si="113"/>
        <v>0</v>
      </c>
      <c r="K99" s="12" t="b">
        <f t="shared" si="113"/>
        <v>0</v>
      </c>
      <c r="L99" s="12" t="b">
        <f t="shared" si="113"/>
        <v>0</v>
      </c>
      <c r="M99" s="12" t="b">
        <f t="shared" si="113"/>
        <v>0</v>
      </c>
      <c r="N99" s="12" t="b">
        <f t="shared" si="113"/>
        <v>0</v>
      </c>
      <c r="O99" s="12" t="b">
        <f t="shared" si="113"/>
        <v>0</v>
      </c>
      <c r="P99" s="12" t="b">
        <f t="shared" si="113"/>
        <v>0</v>
      </c>
      <c r="Q99" s="12" t="b">
        <f t="shared" si="113"/>
        <v>0</v>
      </c>
      <c r="R99" s="12" t="b">
        <f t="shared" si="113"/>
        <v>0</v>
      </c>
      <c r="S99" s="12" t="b">
        <f t="shared" si="113"/>
        <v>0</v>
      </c>
      <c r="T99" s="12" t="b">
        <f t="shared" si="113"/>
        <v>0</v>
      </c>
      <c r="U99" s="12" t="b">
        <f t="shared" si="113"/>
        <v>0</v>
      </c>
      <c r="V99" s="12" t="b">
        <f t="shared" si="113"/>
        <v>0</v>
      </c>
      <c r="W99" s="12" t="b">
        <f t="shared" si="113"/>
        <v>0</v>
      </c>
      <c r="X99" s="12" t="b">
        <f t="shared" si="113"/>
        <v>0</v>
      </c>
      <c r="Y99" s="12" t="b">
        <f t="shared" si="113"/>
        <v>0</v>
      </c>
      <c r="Z99" s="12" t="b">
        <f t="shared" si="113"/>
        <v>0</v>
      </c>
      <c r="AA99" s="12" t="b">
        <f t="shared" si="113"/>
        <v>0</v>
      </c>
      <c r="AB99" s="12" t="b">
        <f t="shared" si="113"/>
        <v>0</v>
      </c>
      <c r="AC99" s="12" t="b">
        <f t="shared" si="113"/>
        <v>0</v>
      </c>
      <c r="AD99" s="12" t="b">
        <f t="shared" si="113"/>
        <v>0</v>
      </c>
      <c r="AE99" s="12" t="b">
        <f t="shared" si="113"/>
        <v>0</v>
      </c>
      <c r="AF99" s="12" t="b">
        <f t="shared" si="113"/>
        <v>0</v>
      </c>
      <c r="AG99" s="12" t="b">
        <f t="shared" si="113"/>
        <v>0</v>
      </c>
      <c r="AH99" s="12" t="b">
        <f t="shared" si="113"/>
        <v>0</v>
      </c>
    </row>
  </sheetData>
  <mergeCells count="107">
    <mergeCell ref="AA39:AB39"/>
    <mergeCell ref="AC39:AD39"/>
    <mergeCell ref="AE39:AF39"/>
    <mergeCell ref="AG39:AH39"/>
    <mergeCell ref="I39:J39"/>
    <mergeCell ref="K39:L39"/>
    <mergeCell ref="Q39:R39"/>
    <mergeCell ref="S39:T39"/>
    <mergeCell ref="U39:V39"/>
    <mergeCell ref="W39:X39"/>
    <mergeCell ref="Y39:Z39"/>
    <mergeCell ref="AE38:AF38"/>
    <mergeCell ref="AG38:AH38"/>
    <mergeCell ref="Q38:R38"/>
    <mergeCell ref="S38:T38"/>
    <mergeCell ref="U38:V38"/>
    <mergeCell ref="W38:X38"/>
    <mergeCell ref="Y38:Z38"/>
    <mergeCell ref="AA38:AB38"/>
    <mergeCell ref="AC38:AD38"/>
    <mergeCell ref="S15:T15"/>
    <mergeCell ref="U15:V15"/>
    <mergeCell ref="W15:X15"/>
    <mergeCell ref="Y15:Z15"/>
    <mergeCell ref="AA15:AB15"/>
    <mergeCell ref="AC15:AD15"/>
    <mergeCell ref="AE15:AF15"/>
    <mergeCell ref="AG15:AH15"/>
    <mergeCell ref="E15:F15"/>
    <mergeCell ref="G15:H15"/>
    <mergeCell ref="I15:J15"/>
    <mergeCell ref="K15:L15"/>
    <mergeCell ref="M15:N15"/>
    <mergeCell ref="O15:P15"/>
    <mergeCell ref="Q15:R15"/>
    <mergeCell ref="AA40:AB40"/>
    <mergeCell ref="AC40:AD40"/>
    <mergeCell ref="AE40:AF40"/>
    <mergeCell ref="AG40:AH40"/>
    <mergeCell ref="M40:N40"/>
    <mergeCell ref="O40:P40"/>
    <mergeCell ref="Q40:R40"/>
    <mergeCell ref="S40:T40"/>
    <mergeCell ref="U40:V40"/>
    <mergeCell ref="W40:X40"/>
    <mergeCell ref="Y40:Z40"/>
    <mergeCell ref="C42:C55"/>
    <mergeCell ref="C57:C70"/>
    <mergeCell ref="C82:C95"/>
    <mergeCell ref="I40:J40"/>
    <mergeCell ref="K40:L40"/>
    <mergeCell ref="A38:D40"/>
    <mergeCell ref="E38:F38"/>
    <mergeCell ref="G38:H38"/>
    <mergeCell ref="I38:J38"/>
    <mergeCell ref="K38:L38"/>
    <mergeCell ref="E39:F39"/>
    <mergeCell ref="G39:H39"/>
    <mergeCell ref="A4:D4"/>
    <mergeCell ref="A5:D5"/>
    <mergeCell ref="A6:D6"/>
    <mergeCell ref="A7:D7"/>
    <mergeCell ref="A8:D8"/>
    <mergeCell ref="M39:N39"/>
    <mergeCell ref="O39:P39"/>
    <mergeCell ref="E40:F40"/>
    <mergeCell ref="G40:H40"/>
    <mergeCell ref="M38:N38"/>
    <mergeCell ref="O38:P38"/>
    <mergeCell ref="A9:D9"/>
    <mergeCell ref="A10:D10"/>
    <mergeCell ref="A11:D11"/>
    <mergeCell ref="A12:D12"/>
    <mergeCell ref="A13:D13"/>
    <mergeCell ref="A14:D14"/>
    <mergeCell ref="A15:D15"/>
    <mergeCell ref="AA2:AB2"/>
    <mergeCell ref="AC2:AD2"/>
    <mergeCell ref="AE2:AF2"/>
    <mergeCell ref="AG2:AH2"/>
    <mergeCell ref="M2:N2"/>
    <mergeCell ref="O2:P2"/>
    <mergeCell ref="Q2:R2"/>
    <mergeCell ref="S2:T2"/>
    <mergeCell ref="U2:V2"/>
    <mergeCell ref="W2:X2"/>
    <mergeCell ref="Y2:Z2"/>
    <mergeCell ref="I2:J2"/>
    <mergeCell ref="K2:L2"/>
    <mergeCell ref="A1:D2"/>
    <mergeCell ref="E1:F1"/>
    <mergeCell ref="G1:H1"/>
    <mergeCell ref="I1:J1"/>
    <mergeCell ref="K1:L1"/>
    <mergeCell ref="M1:N1"/>
    <mergeCell ref="O1:P1"/>
    <mergeCell ref="E2:F2"/>
    <mergeCell ref="G2:H2"/>
    <mergeCell ref="AE1:AF1"/>
    <mergeCell ref="AG1:AH1"/>
    <mergeCell ref="Q1:R1"/>
    <mergeCell ref="S1:T1"/>
    <mergeCell ref="U1:V1"/>
    <mergeCell ref="W1:X1"/>
    <mergeCell ref="Y1:Z1"/>
    <mergeCell ref="AA1:AB1"/>
    <mergeCell ref="AC1:AD1"/>
  </mergeCells>
  <dataValidations count="2">
    <dataValidation type="list" allowBlank="1" showErrorMessage="1" sqref="E38 G38 I38 K38 M38 O38 Q38 S38 U38 W38 Y38 AA38 AC38 AE38 AG38" xr:uid="{00000000-0002-0000-0300-000000000000}">
      <formula1>"Estágio Completo,Estágio Interrompido"</formula1>
    </dataValidation>
    <dataValidation type="list" allowBlank="1" showErrorMessage="1" sqref="E15 G15 I15 K15 M15 O15 Q15 S15 U15 W15 Y15 AA15 AC15 AE15 AG15" xr:uid="{00000000-0002-0000-0300-000001000000}">
      <formula1>"Teste de Esteira Progressiva,Teste Bicicleta Ergométrica Balke"</formula1>
    </dataValidation>
  </dataValidation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1">
        <x14:dataValidation type="list" allowBlank="1" showErrorMessage="1" xr:uid="{00000000-0002-0000-0300-000002000000}">
          <x14:formula1>
            <xm:f>'BD tratado'!$E$1:$S$1</xm:f>
          </x14:formula1>
          <xm:sqref>E1 G1 I1 K1 M1 O1 Q1 S1 U1 W1 Y1 AA1 AC1 AE1 AG1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32"/>
  <sheetViews>
    <sheetView workbookViewId="0"/>
  </sheetViews>
  <sheetFormatPr defaultColWidth="12.5703125" defaultRowHeight="15.75" customHeight="1" outlineLevelRow="1"/>
  <cols>
    <col min="1" max="1" width="26.85546875" customWidth="1"/>
    <col min="2" max="16" width="29.42578125" customWidth="1"/>
  </cols>
  <sheetData>
    <row r="1" spans="1:16" ht="15">
      <c r="A1" s="110" t="str">
        <f>Avaliação!B1</f>
        <v>Claudinei Rogério Gasparoto</v>
      </c>
      <c r="C1" s="15"/>
      <c r="D1" s="14"/>
      <c r="E1" s="14"/>
      <c r="F1" s="28"/>
    </row>
    <row r="3" spans="1:16" ht="12.75">
      <c r="B3" s="12" t="str">
        <f>BD!B1</f>
        <v>Av1</v>
      </c>
      <c r="C3" s="12" t="str">
        <f>BD!C1</f>
        <v>Av2</v>
      </c>
      <c r="D3" s="12" t="str">
        <f>BD!D1</f>
        <v>Av3</v>
      </c>
      <c r="E3" s="12" t="str">
        <f>BD!E1</f>
        <v>Av4</v>
      </c>
      <c r="F3" s="12" t="str">
        <f>BD!F1</f>
        <v>Av5</v>
      </c>
      <c r="G3" s="12" t="str">
        <f>BD!G1</f>
        <v>Av6</v>
      </c>
      <c r="H3" s="12" t="str">
        <f>BD!H1</f>
        <v>Av7</v>
      </c>
      <c r="I3" s="12" t="str">
        <f>BD!I1</f>
        <v>Av8</v>
      </c>
      <c r="J3" s="12" t="str">
        <f>BD!J1</f>
        <v>Av9</v>
      </c>
      <c r="K3" s="12" t="str">
        <f>BD!K1</f>
        <v>Av10</v>
      </c>
      <c r="L3" s="12" t="str">
        <f>BD!L1</f>
        <v>Av11</v>
      </c>
      <c r="M3" s="12" t="str">
        <f>BD!M1</f>
        <v>Av12</v>
      </c>
      <c r="N3" s="12" t="str">
        <f>BD!N1</f>
        <v>Av13</v>
      </c>
      <c r="O3" s="12" t="str">
        <f>BD!O1</f>
        <v>Av14</v>
      </c>
      <c r="P3" s="12" t="str">
        <f>BD!P1</f>
        <v>Av15</v>
      </c>
    </row>
    <row r="4" spans="1:16" ht="12.75">
      <c r="A4" s="111" t="s">
        <v>322</v>
      </c>
      <c r="B4" s="112">
        <f>BD!B2</f>
        <v>44517</v>
      </c>
      <c r="C4" s="112">
        <f>BD!C2</f>
        <v>44733</v>
      </c>
      <c r="D4" s="112">
        <f>BD!D2</f>
        <v>44949</v>
      </c>
      <c r="E4" s="112">
        <f>BD!E2</f>
        <v>45078</v>
      </c>
      <c r="F4" s="112">
        <f>BD!F2</f>
        <v>45301</v>
      </c>
      <c r="G4" s="112">
        <f>BD!G2</f>
        <v>45433</v>
      </c>
      <c r="H4" s="112">
        <f>BD!H2</f>
        <v>45611</v>
      </c>
      <c r="I4" s="112">
        <f>BD!I2</f>
        <v>45752</v>
      </c>
      <c r="J4" s="112">
        <f>BD!J2</f>
        <v>45829</v>
      </c>
      <c r="K4" s="112">
        <f>BD!K2</f>
        <v>45938</v>
      </c>
      <c r="L4" s="112">
        <f>BD!L2</f>
        <v>45993</v>
      </c>
      <c r="M4" s="112">
        <f>BD!M2</f>
        <v>46064</v>
      </c>
      <c r="N4" s="112">
        <f>BD!N2</f>
        <v>0</v>
      </c>
      <c r="O4" s="112">
        <f>BD!O2</f>
        <v>0</v>
      </c>
      <c r="P4" s="112">
        <f>BD!P2</f>
        <v>0</v>
      </c>
    </row>
    <row r="5" spans="1:16" ht="141.75" customHeight="1" outlineLevel="1">
      <c r="A5" s="113" t="str">
        <f>Laudo!A351</f>
        <v>Abdominal</v>
      </c>
      <c r="B5" s="69"/>
      <c r="C5" s="69"/>
      <c r="D5" s="12"/>
      <c r="E5" s="12"/>
      <c r="F5" s="12"/>
      <c r="G5" s="12"/>
      <c r="H5" s="12"/>
      <c r="I5" s="12"/>
      <c r="J5" s="12"/>
      <c r="K5" s="12"/>
      <c r="L5" s="12"/>
      <c r="M5" s="12"/>
      <c r="N5" s="12"/>
      <c r="O5" s="12"/>
      <c r="P5" s="12"/>
    </row>
    <row r="6" spans="1:16" ht="141.75" customHeight="1" outlineLevel="1">
      <c r="A6" s="113" t="str">
        <f>Laudo!A360</f>
        <v>Anterior da Coxa</v>
      </c>
      <c r="B6" s="69"/>
      <c r="C6" s="69"/>
      <c r="D6" s="12"/>
      <c r="E6" s="12"/>
      <c r="F6" s="12"/>
      <c r="G6" s="12"/>
      <c r="H6" s="12"/>
      <c r="I6" s="12"/>
      <c r="J6" s="12"/>
      <c r="K6" s="12"/>
      <c r="L6" s="12"/>
      <c r="M6" s="12"/>
      <c r="N6" s="12"/>
      <c r="O6" s="12"/>
      <c r="P6" s="12"/>
    </row>
    <row r="7" spans="1:16" ht="141.75" customHeight="1" outlineLevel="1">
      <c r="A7" s="113" t="str">
        <f>Laudo!A369</f>
        <v>Posterior do Braço (Tríceps)</v>
      </c>
      <c r="B7" s="69"/>
      <c r="C7" s="69"/>
      <c r="D7" s="12"/>
      <c r="E7" s="12"/>
      <c r="F7" s="12"/>
      <c r="G7" s="12"/>
      <c r="H7" s="12"/>
      <c r="I7" s="12"/>
      <c r="J7" s="12"/>
      <c r="K7" s="12"/>
      <c r="L7" s="12"/>
      <c r="M7" s="12"/>
      <c r="N7" s="12"/>
      <c r="O7" s="12"/>
      <c r="P7" s="12"/>
    </row>
    <row r="8" spans="1:16" ht="141.75" customHeight="1" outlineLevel="1">
      <c r="A8" s="113" t="str">
        <f>Laudo!A378</f>
        <v>Anterior do Braço (Bíceps)</v>
      </c>
      <c r="B8" s="69"/>
      <c r="C8" s="69"/>
      <c r="D8" s="12"/>
      <c r="E8" s="12"/>
      <c r="F8" s="12"/>
      <c r="G8" s="12"/>
      <c r="H8" s="12"/>
      <c r="I8" s="12"/>
      <c r="J8" s="12"/>
      <c r="K8" s="12"/>
      <c r="L8" s="12"/>
      <c r="M8" s="12"/>
      <c r="N8" s="12"/>
      <c r="O8" s="12"/>
      <c r="P8" s="12"/>
    </row>
    <row r="9" spans="1:16" ht="12.75">
      <c r="A9" s="111" t="s">
        <v>323</v>
      </c>
      <c r="B9" s="69"/>
      <c r="C9" s="69"/>
    </row>
    <row r="10" spans="1:16" ht="283.5" customHeight="1" outlineLevel="1">
      <c r="A10" s="113" t="s">
        <v>324</v>
      </c>
      <c r="B10" s="114"/>
      <c r="C10" s="69"/>
    </row>
    <row r="11" spans="1:16" ht="12.75" outlineLevel="1">
      <c r="A11" s="113" t="s">
        <v>325</v>
      </c>
      <c r="B11" s="115"/>
      <c r="C11" s="69"/>
    </row>
    <row r="12" spans="1:16" ht="12.75" outlineLevel="1">
      <c r="A12" s="113" t="s">
        <v>326</v>
      </c>
      <c r="B12" s="115"/>
      <c r="C12" s="69"/>
    </row>
    <row r="13" spans="1:16" ht="12.75" outlineLevel="1">
      <c r="A13" s="113" t="s">
        <v>327</v>
      </c>
      <c r="B13" s="115"/>
      <c r="C13" s="69"/>
    </row>
    <row r="14" spans="1:16" ht="12.75" outlineLevel="1">
      <c r="A14" s="113" t="s">
        <v>73</v>
      </c>
      <c r="B14" s="115"/>
      <c r="C14" s="69"/>
    </row>
    <row r="15" spans="1:16" ht="12.75" outlineLevel="1">
      <c r="A15" s="113" t="s">
        <v>328</v>
      </c>
      <c r="B15" s="115"/>
      <c r="C15" s="69"/>
    </row>
    <row r="16" spans="1:16" ht="12.75" outlineLevel="1">
      <c r="A16" s="113" t="s">
        <v>329</v>
      </c>
      <c r="B16" s="115"/>
      <c r="C16" s="69"/>
    </row>
    <row r="17" spans="1:16" ht="12.75" outlineLevel="1">
      <c r="A17" s="113" t="s">
        <v>330</v>
      </c>
      <c r="B17" s="115"/>
      <c r="C17" s="69"/>
    </row>
    <row r="18" spans="1:16" ht="283.5" customHeight="1" outlineLevel="1">
      <c r="A18" s="113" t="s">
        <v>331</v>
      </c>
      <c r="B18" s="114"/>
      <c r="C18" s="69"/>
    </row>
    <row r="19" spans="1:16" ht="12.75" outlineLevel="1">
      <c r="A19" s="113" t="s">
        <v>332</v>
      </c>
      <c r="B19" s="115"/>
      <c r="C19" s="69"/>
    </row>
    <row r="20" spans="1:16" ht="12.75" outlineLevel="1">
      <c r="A20" s="113" t="s">
        <v>326</v>
      </c>
      <c r="B20" s="115"/>
      <c r="C20" s="69"/>
    </row>
    <row r="21" spans="1:16" ht="12.75" outlineLevel="1">
      <c r="A21" s="113" t="s">
        <v>333</v>
      </c>
      <c r="B21" s="115"/>
      <c r="C21" s="69"/>
    </row>
    <row r="22" spans="1:16" ht="12.75" outlineLevel="1">
      <c r="A22" s="113" t="s">
        <v>334</v>
      </c>
      <c r="B22" s="115"/>
      <c r="C22" s="69"/>
    </row>
    <row r="23" spans="1:16" ht="12.75" outlineLevel="1">
      <c r="A23" s="113" t="s">
        <v>335</v>
      </c>
      <c r="B23" s="115"/>
      <c r="C23" s="69"/>
    </row>
    <row r="24" spans="1:16" ht="12.75" outlineLevel="1">
      <c r="A24" s="113" t="s">
        <v>336</v>
      </c>
      <c r="B24" s="115"/>
      <c r="C24" s="69"/>
    </row>
    <row r="25" spans="1:16" ht="12.75" outlineLevel="1">
      <c r="A25" s="113" t="s">
        <v>337</v>
      </c>
      <c r="B25" s="115"/>
      <c r="C25" s="69"/>
    </row>
    <row r="26" spans="1:16" ht="12.75" outlineLevel="1">
      <c r="A26" s="113" t="s">
        <v>328</v>
      </c>
      <c r="B26" s="115"/>
      <c r="C26" s="69"/>
    </row>
    <row r="27" spans="1:16" ht="12.75" outlineLevel="1">
      <c r="A27" s="111" t="s">
        <v>338</v>
      </c>
      <c r="B27" s="114"/>
      <c r="C27" s="69"/>
    </row>
    <row r="28" spans="1:16" ht="12.75" outlineLevel="1">
      <c r="A28" s="113" t="s">
        <v>325</v>
      </c>
      <c r="B28" s="52" t="str">
        <f t="shared" ref="B28:P28" si="0">IF(B$11="","",(B11+B12+B19+B20+B21)/25*100)</f>
        <v/>
      </c>
      <c r="C28" s="52" t="str">
        <f t="shared" si="0"/>
        <v/>
      </c>
      <c r="D28" s="52" t="str">
        <f t="shared" si="0"/>
        <v/>
      </c>
      <c r="E28" s="52" t="str">
        <f t="shared" si="0"/>
        <v/>
      </c>
      <c r="F28" s="52" t="str">
        <f t="shared" si="0"/>
        <v/>
      </c>
      <c r="G28" s="52" t="str">
        <f t="shared" si="0"/>
        <v/>
      </c>
      <c r="H28" s="52" t="str">
        <f t="shared" si="0"/>
        <v/>
      </c>
      <c r="I28" s="52" t="str">
        <f t="shared" si="0"/>
        <v/>
      </c>
      <c r="J28" s="52" t="str">
        <f t="shared" si="0"/>
        <v/>
      </c>
      <c r="K28" s="52" t="str">
        <f t="shared" si="0"/>
        <v/>
      </c>
      <c r="L28" s="52" t="str">
        <f t="shared" si="0"/>
        <v/>
      </c>
      <c r="M28" s="52" t="str">
        <f t="shared" si="0"/>
        <v/>
      </c>
      <c r="N28" s="52" t="str">
        <f t="shared" si="0"/>
        <v/>
      </c>
      <c r="O28" s="52" t="str">
        <f t="shared" si="0"/>
        <v/>
      </c>
      <c r="P28" s="52" t="str">
        <f t="shared" si="0"/>
        <v/>
      </c>
    </row>
    <row r="29" spans="1:16" ht="12.75" outlineLevel="1">
      <c r="A29" s="113" t="s">
        <v>339</v>
      </c>
      <c r="B29" s="52" t="str">
        <f t="shared" ref="B29:P29" si="1">IF(B$11="","",(B13+B22+B23)/15*100)</f>
        <v/>
      </c>
      <c r="C29" s="52" t="str">
        <f t="shared" si="1"/>
        <v/>
      </c>
      <c r="D29" s="52" t="str">
        <f t="shared" si="1"/>
        <v/>
      </c>
      <c r="E29" s="52" t="str">
        <f t="shared" si="1"/>
        <v/>
      </c>
      <c r="F29" s="52" t="str">
        <f t="shared" si="1"/>
        <v/>
      </c>
      <c r="G29" s="52" t="str">
        <f t="shared" si="1"/>
        <v/>
      </c>
      <c r="H29" s="52" t="str">
        <f t="shared" si="1"/>
        <v/>
      </c>
      <c r="I29" s="52" t="str">
        <f t="shared" si="1"/>
        <v/>
      </c>
      <c r="J29" s="52" t="str">
        <f t="shared" si="1"/>
        <v/>
      </c>
      <c r="K29" s="52" t="str">
        <f t="shared" si="1"/>
        <v/>
      </c>
      <c r="L29" s="52" t="str">
        <f t="shared" si="1"/>
        <v/>
      </c>
      <c r="M29" s="52" t="str">
        <f t="shared" si="1"/>
        <v/>
      </c>
      <c r="N29" s="52" t="str">
        <f t="shared" si="1"/>
        <v/>
      </c>
      <c r="O29" s="52" t="str">
        <f t="shared" si="1"/>
        <v/>
      </c>
      <c r="P29" s="52" t="str">
        <f t="shared" si="1"/>
        <v/>
      </c>
    </row>
    <row r="30" spans="1:16" ht="12.75" outlineLevel="1">
      <c r="A30" s="113" t="s">
        <v>340</v>
      </c>
      <c r="B30" s="52" t="str">
        <f t="shared" ref="B30:P30" si="2">IF(B$11="","",(B14+B24+B25)/15*100)</f>
        <v/>
      </c>
      <c r="C30" s="52" t="str">
        <f t="shared" si="2"/>
        <v/>
      </c>
      <c r="D30" s="52" t="str">
        <f t="shared" si="2"/>
        <v/>
      </c>
      <c r="E30" s="52" t="str">
        <f t="shared" si="2"/>
        <v/>
      </c>
      <c r="F30" s="52" t="str">
        <f t="shared" si="2"/>
        <v/>
      </c>
      <c r="G30" s="52" t="str">
        <f t="shared" si="2"/>
        <v/>
      </c>
      <c r="H30" s="52" t="str">
        <f t="shared" si="2"/>
        <v/>
      </c>
      <c r="I30" s="52" t="str">
        <f t="shared" si="2"/>
        <v/>
      </c>
      <c r="J30" s="52" t="str">
        <f t="shared" si="2"/>
        <v/>
      </c>
      <c r="K30" s="52" t="str">
        <f t="shared" si="2"/>
        <v/>
      </c>
      <c r="L30" s="52" t="str">
        <f t="shared" si="2"/>
        <v/>
      </c>
      <c r="M30" s="52" t="str">
        <f t="shared" si="2"/>
        <v/>
      </c>
      <c r="N30" s="52" t="str">
        <f t="shared" si="2"/>
        <v/>
      </c>
      <c r="O30" s="52" t="str">
        <f t="shared" si="2"/>
        <v/>
      </c>
      <c r="P30" s="52" t="str">
        <f t="shared" si="2"/>
        <v/>
      </c>
    </row>
    <row r="31" spans="1:16" ht="12.75" outlineLevel="1">
      <c r="A31" s="113" t="s">
        <v>341</v>
      </c>
      <c r="B31" s="52" t="str">
        <f t="shared" ref="B31:P31" si="3">IF(B$11="","",(B15+B16+B17+B26)/20*100)</f>
        <v/>
      </c>
      <c r="C31" s="52" t="str">
        <f t="shared" si="3"/>
        <v/>
      </c>
      <c r="D31" s="52" t="str">
        <f t="shared" si="3"/>
        <v/>
      </c>
      <c r="E31" s="52" t="str">
        <f t="shared" si="3"/>
        <v/>
      </c>
      <c r="F31" s="52" t="str">
        <f t="shared" si="3"/>
        <v/>
      </c>
      <c r="G31" s="52" t="str">
        <f t="shared" si="3"/>
        <v/>
      </c>
      <c r="H31" s="52" t="str">
        <f t="shared" si="3"/>
        <v/>
      </c>
      <c r="I31" s="52" t="str">
        <f t="shared" si="3"/>
        <v/>
      </c>
      <c r="J31" s="52" t="str">
        <f t="shared" si="3"/>
        <v/>
      </c>
      <c r="K31" s="52" t="str">
        <f t="shared" si="3"/>
        <v/>
      </c>
      <c r="L31" s="52" t="str">
        <f t="shared" si="3"/>
        <v/>
      </c>
      <c r="M31" s="52" t="str">
        <f t="shared" si="3"/>
        <v/>
      </c>
      <c r="N31" s="52" t="str">
        <f t="shared" si="3"/>
        <v/>
      </c>
      <c r="O31" s="52" t="str">
        <f t="shared" si="3"/>
        <v/>
      </c>
      <c r="P31" s="52" t="str">
        <f t="shared" si="3"/>
        <v/>
      </c>
    </row>
    <row r="32" spans="1:16" ht="12.75" outlineLevel="1">
      <c r="A32" s="113" t="s">
        <v>342</v>
      </c>
      <c r="B32" s="52" t="str">
        <f t="shared" ref="B32:P32" si="4">IF(B$11="","",SUM(B$28:B$31)/4)</f>
        <v/>
      </c>
      <c r="C32" s="52" t="str">
        <f t="shared" si="4"/>
        <v/>
      </c>
      <c r="D32" s="52" t="str">
        <f t="shared" si="4"/>
        <v/>
      </c>
      <c r="E32" s="52" t="str">
        <f t="shared" si="4"/>
        <v/>
      </c>
      <c r="F32" s="52" t="str">
        <f t="shared" si="4"/>
        <v/>
      </c>
      <c r="G32" s="52" t="str">
        <f t="shared" si="4"/>
        <v/>
      </c>
      <c r="H32" s="52" t="str">
        <f t="shared" si="4"/>
        <v/>
      </c>
      <c r="I32" s="52" t="str">
        <f t="shared" si="4"/>
        <v/>
      </c>
      <c r="J32" s="52" t="str">
        <f t="shared" si="4"/>
        <v/>
      </c>
      <c r="K32" s="52" t="str">
        <f t="shared" si="4"/>
        <v/>
      </c>
      <c r="L32" s="52" t="str">
        <f t="shared" si="4"/>
        <v/>
      </c>
      <c r="M32" s="52" t="str">
        <f t="shared" si="4"/>
        <v/>
      </c>
      <c r="N32" s="52" t="str">
        <f t="shared" si="4"/>
        <v/>
      </c>
      <c r="O32" s="52" t="str">
        <f t="shared" si="4"/>
        <v/>
      </c>
      <c r="P32" s="52" t="str">
        <f t="shared" si="4"/>
        <v/>
      </c>
    </row>
  </sheetData>
  <dataValidations count="1">
    <dataValidation type="custom" allowBlank="1" showDropDown="1" sqref="F1" xr:uid="{00000000-0002-0000-0400-000000000000}">
      <formula1>OR(NOT(ISERROR(DATEVALUE(F1))), AND(ISNUMBER(F1), LEFT(CELL("format", F1))="D"))</formula1>
    </dataValidation>
  </dataValidation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905"/>
  <sheetViews>
    <sheetView workbookViewId="0">
      <pane ySplit="2" topLeftCell="A3" activePane="bottomLeft" state="frozen"/>
      <selection pane="bottomLeft" activeCell="B4" sqref="B4"/>
    </sheetView>
  </sheetViews>
  <sheetFormatPr defaultColWidth="12.5703125" defaultRowHeight="15.75" customHeight="1"/>
  <cols>
    <col min="1" max="2" width="5.42578125" customWidth="1"/>
    <col min="3" max="16" width="5" customWidth="1"/>
  </cols>
  <sheetData>
    <row r="1" spans="1:16" ht="43.5" customHeight="1">
      <c r="A1" s="451"/>
      <c r="B1" s="452"/>
      <c r="C1" s="452"/>
      <c r="D1" s="452"/>
      <c r="E1" s="452"/>
      <c r="F1" s="116"/>
      <c r="G1" s="453" t="s">
        <v>343</v>
      </c>
      <c r="H1" s="452"/>
      <c r="I1" s="452"/>
      <c r="J1" s="452"/>
      <c r="K1" s="454" t="str">
        <f>Avaliação!B1</f>
        <v>Claudinei Rogério Gasparoto</v>
      </c>
      <c r="L1" s="452"/>
      <c r="M1" s="452"/>
      <c r="N1" s="452"/>
      <c r="O1" s="452"/>
      <c r="P1" s="452"/>
    </row>
    <row r="2" spans="1:16" ht="1.5" customHeight="1">
      <c r="A2" s="68"/>
      <c r="B2" s="68"/>
      <c r="C2" s="68"/>
      <c r="D2" s="68"/>
      <c r="E2" s="68"/>
      <c r="F2" s="68"/>
      <c r="G2" s="117"/>
      <c r="H2" s="117"/>
      <c r="I2" s="117"/>
      <c r="J2" s="117"/>
      <c r="K2" s="118"/>
      <c r="L2" s="118"/>
      <c r="M2" s="118"/>
      <c r="N2" s="118"/>
      <c r="O2" s="118"/>
      <c r="P2" s="118"/>
    </row>
    <row r="3" spans="1:16" ht="12.75">
      <c r="B3" s="68"/>
      <c r="C3" s="68"/>
      <c r="D3" s="68"/>
      <c r="E3" s="68"/>
      <c r="F3" s="68"/>
      <c r="G3" s="68"/>
      <c r="H3" s="68"/>
      <c r="I3" s="68"/>
      <c r="J3" s="68"/>
      <c r="K3" s="68"/>
      <c r="L3" s="68"/>
      <c r="M3" s="68"/>
      <c r="N3" s="68"/>
      <c r="O3" s="68"/>
      <c r="P3" s="68"/>
    </row>
    <row r="4" spans="1:16" ht="12.75">
      <c r="B4" s="68"/>
      <c r="C4" s="68"/>
      <c r="D4" s="68"/>
      <c r="E4" s="68"/>
      <c r="F4" s="68"/>
      <c r="G4" s="68"/>
      <c r="H4" s="68"/>
      <c r="I4" s="68"/>
      <c r="J4" s="68"/>
      <c r="K4" s="68"/>
      <c r="L4" s="68"/>
      <c r="M4" s="68"/>
      <c r="N4" s="68"/>
      <c r="O4" s="68"/>
      <c r="P4" s="68"/>
    </row>
    <row r="5" spans="1:16" ht="12.75">
      <c r="B5" s="68"/>
      <c r="C5" s="68"/>
      <c r="D5" s="68"/>
      <c r="E5" s="68"/>
      <c r="F5" s="68"/>
      <c r="G5" s="68"/>
      <c r="H5" s="68"/>
      <c r="I5" s="68"/>
      <c r="J5" s="68"/>
      <c r="K5" s="68"/>
      <c r="L5" s="68"/>
      <c r="M5" s="68"/>
      <c r="N5" s="68"/>
      <c r="O5" s="68"/>
      <c r="P5" s="68"/>
    </row>
    <row r="6" spans="1:16" ht="12.75">
      <c r="B6" s="68"/>
      <c r="C6" s="68"/>
      <c r="D6" s="68"/>
      <c r="E6" s="68"/>
      <c r="F6" s="68"/>
      <c r="G6" s="68"/>
      <c r="H6" s="68"/>
      <c r="I6" s="68"/>
      <c r="J6" s="68"/>
      <c r="K6" s="68"/>
      <c r="L6" s="68"/>
      <c r="M6" s="68"/>
      <c r="N6" s="68"/>
      <c r="O6" s="68"/>
      <c r="P6" s="68"/>
    </row>
    <row r="7" spans="1:16" ht="12.75">
      <c r="B7" s="68"/>
      <c r="C7" s="68"/>
      <c r="D7" s="68"/>
      <c r="E7" s="68"/>
      <c r="F7" s="68"/>
      <c r="G7" s="68"/>
      <c r="H7" s="68"/>
      <c r="I7" s="68"/>
      <c r="J7" s="68"/>
      <c r="K7" s="68"/>
      <c r="L7" s="68"/>
      <c r="M7" s="68"/>
      <c r="N7" s="68"/>
      <c r="O7" s="68"/>
      <c r="P7" s="68"/>
    </row>
    <row r="8" spans="1:16" ht="12.75">
      <c r="B8" s="68"/>
      <c r="C8" s="68"/>
      <c r="D8" s="68"/>
      <c r="E8" s="68"/>
      <c r="F8" s="68"/>
      <c r="G8" s="68"/>
      <c r="H8" s="68"/>
      <c r="I8" s="68"/>
      <c r="J8" s="68"/>
      <c r="K8" s="68"/>
      <c r="L8" s="68"/>
      <c r="M8" s="68"/>
      <c r="N8" s="68"/>
      <c r="O8" s="68"/>
      <c r="P8" s="68"/>
    </row>
    <row r="9" spans="1:16" ht="12.75">
      <c r="B9" s="68"/>
      <c r="C9" s="68"/>
      <c r="D9" s="68"/>
      <c r="E9" s="68"/>
      <c r="F9" s="68"/>
      <c r="G9" s="68"/>
      <c r="H9" s="68"/>
      <c r="I9" s="68"/>
      <c r="J9" s="68"/>
      <c r="K9" s="68"/>
      <c r="L9" s="68"/>
      <c r="M9" s="68"/>
      <c r="N9" s="68"/>
      <c r="O9" s="68"/>
      <c r="P9" s="68"/>
    </row>
    <row r="10" spans="1:16" ht="12.75">
      <c r="B10" s="68"/>
      <c r="C10" s="68"/>
      <c r="D10" s="68"/>
      <c r="E10" s="68"/>
      <c r="F10" s="68"/>
      <c r="G10" s="68"/>
      <c r="H10" s="68"/>
      <c r="I10" s="68"/>
      <c r="J10" s="68"/>
      <c r="K10" s="68"/>
      <c r="L10" s="68"/>
      <c r="M10" s="68"/>
      <c r="N10" s="68"/>
      <c r="O10" s="68"/>
      <c r="P10" s="68"/>
    </row>
    <row r="11" spans="1:16" ht="12.75">
      <c r="B11" s="68"/>
      <c r="C11" s="68"/>
      <c r="D11" s="68"/>
      <c r="E11" s="68"/>
      <c r="F11" s="68"/>
      <c r="G11" s="68"/>
      <c r="H11" s="68"/>
      <c r="I11" s="68"/>
      <c r="J11" s="68"/>
      <c r="K11" s="68"/>
      <c r="L11" s="68"/>
      <c r="M11" s="68"/>
      <c r="N11" s="68"/>
      <c r="O11" s="68"/>
      <c r="P11" s="68"/>
    </row>
    <row r="12" spans="1:16" ht="12.75">
      <c r="B12" s="68"/>
      <c r="C12" s="68"/>
      <c r="D12" s="68"/>
      <c r="E12" s="68"/>
      <c r="F12" s="68"/>
      <c r="G12" s="68"/>
      <c r="H12" s="68"/>
      <c r="I12" s="68"/>
      <c r="J12" s="68"/>
      <c r="K12" s="68"/>
      <c r="L12" s="68"/>
      <c r="M12" s="68"/>
      <c r="N12" s="68"/>
      <c r="O12" s="68"/>
      <c r="P12" s="68"/>
    </row>
    <row r="13" spans="1:16" ht="12.75">
      <c r="O13" s="68"/>
      <c r="P13" s="68"/>
    </row>
    <row r="14" spans="1:16" ht="12.75">
      <c r="O14" s="68"/>
      <c r="P14" s="68"/>
    </row>
    <row r="15" spans="1:16" ht="12.75">
      <c r="B15" s="68"/>
      <c r="O15" s="68"/>
      <c r="P15" s="68"/>
    </row>
    <row r="16" spans="1:16" ht="12.75">
      <c r="B16" s="68"/>
      <c r="O16" s="68"/>
      <c r="P16" s="68"/>
    </row>
    <row r="17" spans="2:16" ht="12.75">
      <c r="B17" s="455" t="s">
        <v>344</v>
      </c>
      <c r="C17" s="294"/>
      <c r="D17" s="294"/>
      <c r="E17" s="294"/>
      <c r="F17" s="294"/>
      <c r="G17" s="294"/>
      <c r="H17" s="294"/>
      <c r="I17" s="294"/>
      <c r="J17" s="294"/>
      <c r="K17" s="294"/>
      <c r="L17" s="294"/>
      <c r="M17" s="294"/>
      <c r="N17" s="294"/>
      <c r="O17" s="294"/>
      <c r="P17" s="68"/>
    </row>
    <row r="18" spans="2:16" ht="12.75">
      <c r="B18" s="294"/>
      <c r="C18" s="294"/>
      <c r="D18" s="294"/>
      <c r="E18" s="294"/>
      <c r="F18" s="294"/>
      <c r="G18" s="294"/>
      <c r="H18" s="294"/>
      <c r="I18" s="294"/>
      <c r="J18" s="294"/>
      <c r="K18" s="294"/>
      <c r="L18" s="294"/>
      <c r="M18" s="294"/>
      <c r="N18" s="294"/>
      <c r="O18" s="294"/>
      <c r="P18" s="68"/>
    </row>
    <row r="19" spans="2:16" ht="12.75">
      <c r="B19" s="294"/>
      <c r="C19" s="294"/>
      <c r="D19" s="294"/>
      <c r="E19" s="294"/>
      <c r="F19" s="294"/>
      <c r="G19" s="294"/>
      <c r="H19" s="294"/>
      <c r="I19" s="294"/>
      <c r="J19" s="294"/>
      <c r="K19" s="294"/>
      <c r="L19" s="294"/>
      <c r="M19" s="294"/>
      <c r="N19" s="294"/>
      <c r="O19" s="294"/>
      <c r="P19" s="68"/>
    </row>
    <row r="20" spans="2:16" ht="12.75">
      <c r="B20" s="294"/>
      <c r="C20" s="294"/>
      <c r="D20" s="294"/>
      <c r="E20" s="294"/>
      <c r="F20" s="294"/>
      <c r="G20" s="294"/>
      <c r="H20" s="294"/>
      <c r="I20" s="294"/>
      <c r="J20" s="294"/>
      <c r="K20" s="294"/>
      <c r="L20" s="294"/>
      <c r="M20" s="294"/>
      <c r="N20" s="294"/>
      <c r="O20" s="294"/>
      <c r="P20" s="68"/>
    </row>
    <row r="21" spans="2:16" ht="12.75">
      <c r="P21" s="68"/>
    </row>
    <row r="22" spans="2:16" ht="12.75">
      <c r="B22" s="456" t="str">
        <f>UPPER(Avaliação!B1)</f>
        <v>CLAUDINEI ROGÉRIO GASPAROTO</v>
      </c>
      <c r="C22" s="294"/>
      <c r="D22" s="294"/>
      <c r="E22" s="294"/>
      <c r="F22" s="294"/>
      <c r="G22" s="294"/>
      <c r="H22" s="294"/>
      <c r="I22" s="294"/>
      <c r="J22" s="294"/>
      <c r="K22" s="294"/>
      <c r="L22" s="294"/>
      <c r="M22" s="294"/>
      <c r="N22" s="294"/>
      <c r="O22" s="294"/>
      <c r="P22" s="68"/>
    </row>
    <row r="23" spans="2:16" ht="12.75">
      <c r="B23" s="294"/>
      <c r="C23" s="294"/>
      <c r="D23" s="294"/>
      <c r="E23" s="294"/>
      <c r="F23" s="294"/>
      <c r="G23" s="294"/>
      <c r="H23" s="294"/>
      <c r="I23" s="294"/>
      <c r="J23" s="294"/>
      <c r="K23" s="294"/>
      <c r="L23" s="294"/>
      <c r="M23" s="294"/>
      <c r="N23" s="294"/>
      <c r="O23" s="294"/>
      <c r="P23" s="68"/>
    </row>
    <row r="24" spans="2:16" ht="12.75">
      <c r="B24" s="294"/>
      <c r="C24" s="294"/>
      <c r="D24" s="294"/>
      <c r="E24" s="294"/>
      <c r="F24" s="294"/>
      <c r="G24" s="294"/>
      <c r="H24" s="294"/>
      <c r="I24" s="294"/>
      <c r="J24" s="294"/>
      <c r="K24" s="294"/>
      <c r="L24" s="294"/>
      <c r="M24" s="294"/>
      <c r="N24" s="294"/>
      <c r="O24" s="294"/>
      <c r="P24" s="68"/>
    </row>
    <row r="25" spans="2:16" ht="12.75">
      <c r="B25" s="294"/>
      <c r="C25" s="294"/>
      <c r="D25" s="294"/>
      <c r="E25" s="294"/>
      <c r="F25" s="294"/>
      <c r="G25" s="294"/>
      <c r="H25" s="294"/>
      <c r="I25" s="294"/>
      <c r="J25" s="294"/>
      <c r="K25" s="294"/>
      <c r="L25" s="294"/>
      <c r="M25" s="294"/>
      <c r="N25" s="294"/>
      <c r="O25" s="294"/>
      <c r="P25" s="68"/>
    </row>
    <row r="26" spans="2:16" ht="12.75">
      <c r="B26" s="294"/>
      <c r="C26" s="294"/>
      <c r="D26" s="294"/>
      <c r="E26" s="294"/>
      <c r="F26" s="294"/>
      <c r="G26" s="294"/>
      <c r="H26" s="294"/>
      <c r="I26" s="294"/>
      <c r="J26" s="294"/>
      <c r="K26" s="294"/>
      <c r="L26" s="294"/>
      <c r="M26" s="294"/>
      <c r="N26" s="294"/>
      <c r="O26" s="294"/>
      <c r="P26" s="68"/>
    </row>
    <row r="27" spans="2:16" ht="12.75">
      <c r="B27" s="294"/>
      <c r="C27" s="294"/>
      <c r="D27" s="294"/>
      <c r="E27" s="294"/>
      <c r="F27" s="294"/>
      <c r="G27" s="294"/>
      <c r="H27" s="294"/>
      <c r="I27" s="294"/>
      <c r="J27" s="294"/>
      <c r="K27" s="294"/>
      <c r="L27" s="294"/>
      <c r="M27" s="294"/>
      <c r="N27" s="294"/>
      <c r="O27" s="294"/>
      <c r="P27" s="68"/>
    </row>
    <row r="28" spans="2:16" ht="12.75">
      <c r="P28" s="68"/>
    </row>
    <row r="29" spans="2:16" ht="12.75">
      <c r="P29" s="68"/>
    </row>
    <row r="30" spans="2:16" ht="12.75">
      <c r="P30" s="68"/>
    </row>
    <row r="31" spans="2:16" ht="12.75">
      <c r="P31" s="68"/>
    </row>
    <row r="32" spans="2:16" ht="12.75">
      <c r="P32" s="68"/>
    </row>
    <row r="33" spans="1:16" ht="12.75">
      <c r="B33" s="68"/>
      <c r="C33" s="68"/>
      <c r="D33" s="68"/>
      <c r="E33" s="68"/>
      <c r="F33" s="68"/>
      <c r="G33" s="68"/>
      <c r="H33" s="68"/>
      <c r="I33" s="68"/>
      <c r="J33" s="68"/>
      <c r="K33" s="68"/>
      <c r="L33" s="68"/>
      <c r="M33" s="68"/>
      <c r="N33" s="68"/>
      <c r="O33" s="68"/>
      <c r="P33" s="68"/>
    </row>
    <row r="34" spans="1:16" ht="12.75">
      <c r="B34" s="68"/>
      <c r="C34" s="68"/>
      <c r="D34" s="68"/>
      <c r="E34" s="68"/>
      <c r="F34" s="68"/>
      <c r="G34" s="68"/>
      <c r="H34" s="68"/>
      <c r="I34" s="68"/>
      <c r="J34" s="68"/>
      <c r="K34" s="68"/>
      <c r="L34" s="68"/>
      <c r="M34" s="68"/>
      <c r="N34" s="68"/>
      <c r="O34" s="68"/>
      <c r="P34" s="68"/>
    </row>
    <row r="35" spans="1:16" ht="12.75">
      <c r="B35" s="68"/>
      <c r="C35" s="68"/>
      <c r="D35" s="68"/>
      <c r="E35" s="68"/>
      <c r="F35" s="68"/>
      <c r="G35" s="68"/>
      <c r="H35" s="68"/>
      <c r="I35" s="68"/>
      <c r="J35" s="68"/>
      <c r="K35" s="68"/>
      <c r="L35" s="68"/>
      <c r="M35" s="68"/>
      <c r="N35" s="68"/>
      <c r="O35" s="68"/>
      <c r="P35" s="68"/>
    </row>
    <row r="36" spans="1:16" ht="12.75">
      <c r="B36" s="68"/>
      <c r="C36" s="68"/>
      <c r="D36" s="68"/>
      <c r="E36" s="68"/>
      <c r="F36" s="68"/>
      <c r="G36" s="68"/>
      <c r="H36" s="68"/>
      <c r="I36" s="68"/>
      <c r="J36" s="68"/>
      <c r="K36" s="68"/>
      <c r="L36" s="68"/>
      <c r="M36" s="68"/>
      <c r="N36" s="68"/>
      <c r="O36" s="68"/>
      <c r="P36" s="68"/>
    </row>
    <row r="37" spans="1:16" ht="12.75">
      <c r="B37" s="68"/>
      <c r="C37" s="68"/>
      <c r="D37" s="68"/>
      <c r="E37" s="68"/>
      <c r="F37" s="68"/>
      <c r="G37" s="68"/>
      <c r="H37" s="68"/>
      <c r="I37" s="68"/>
      <c r="J37" s="68"/>
      <c r="K37" s="68"/>
      <c r="L37" s="68"/>
      <c r="M37" s="68"/>
      <c r="N37" s="68"/>
      <c r="O37" s="68"/>
      <c r="P37" s="68"/>
    </row>
    <row r="38" spans="1:16" ht="12.75">
      <c r="B38" s="68"/>
      <c r="C38" s="68"/>
      <c r="D38" s="68"/>
      <c r="E38" s="68"/>
      <c r="F38" s="68"/>
      <c r="G38" s="68"/>
      <c r="H38" s="68"/>
      <c r="I38" s="68"/>
      <c r="J38" s="68"/>
      <c r="K38" s="68"/>
      <c r="L38" s="68"/>
      <c r="M38" s="68"/>
      <c r="N38" s="68"/>
      <c r="O38" s="68"/>
      <c r="P38" s="68"/>
    </row>
    <row r="39" spans="1:16" ht="12.75">
      <c r="B39" s="68"/>
      <c r="C39" s="68"/>
      <c r="D39" s="68"/>
      <c r="E39" s="68"/>
      <c r="F39" s="68"/>
      <c r="G39" s="68"/>
      <c r="H39" s="68"/>
      <c r="I39" s="68"/>
      <c r="J39" s="68"/>
      <c r="K39" s="68"/>
      <c r="L39" s="68"/>
      <c r="M39" s="68"/>
      <c r="N39" s="68"/>
      <c r="O39" s="68"/>
      <c r="P39" s="68"/>
    </row>
    <row r="40" spans="1:16" ht="12.75">
      <c r="B40" s="68"/>
      <c r="C40" s="68"/>
      <c r="D40" s="68"/>
      <c r="E40" s="68"/>
      <c r="F40" s="68"/>
      <c r="G40" s="68"/>
      <c r="H40" s="68"/>
      <c r="I40" s="68"/>
      <c r="J40" s="68"/>
      <c r="K40" s="68"/>
      <c r="L40" s="68"/>
      <c r="M40" s="68"/>
      <c r="N40" s="68"/>
      <c r="O40" s="68"/>
      <c r="P40" s="68"/>
    </row>
    <row r="41" spans="1:16" ht="12.75">
      <c r="B41" s="68"/>
      <c r="C41" s="68"/>
      <c r="D41" s="68"/>
      <c r="E41" s="68"/>
      <c r="F41" s="68"/>
      <c r="G41" s="68"/>
      <c r="H41" s="68"/>
      <c r="I41" s="68"/>
      <c r="J41" s="68"/>
      <c r="K41" s="68"/>
      <c r="L41" s="68"/>
      <c r="M41" s="68"/>
      <c r="N41" s="68"/>
      <c r="O41" s="68"/>
      <c r="P41" s="68"/>
    </row>
    <row r="42" spans="1:16" ht="12.75">
      <c r="B42" s="68"/>
      <c r="C42" s="68"/>
      <c r="D42" s="68"/>
      <c r="E42" s="68"/>
      <c r="F42" s="68"/>
      <c r="G42" s="68"/>
      <c r="H42" s="68"/>
      <c r="I42" s="68"/>
      <c r="J42" s="68"/>
      <c r="K42" s="68"/>
      <c r="L42" s="68"/>
      <c r="M42" s="68"/>
      <c r="N42" s="68"/>
      <c r="O42" s="68"/>
      <c r="P42" s="68"/>
    </row>
    <row r="43" spans="1:16" ht="12.75">
      <c r="B43" s="68"/>
      <c r="C43" s="68"/>
      <c r="D43" s="68"/>
      <c r="E43" s="68"/>
      <c r="F43" s="68"/>
      <c r="G43" s="68"/>
      <c r="H43" s="68"/>
      <c r="I43" s="68"/>
      <c r="J43" s="68"/>
      <c r="K43" s="68"/>
      <c r="L43" s="68"/>
      <c r="M43" s="68"/>
      <c r="N43" s="68"/>
      <c r="O43" s="68"/>
      <c r="P43" s="68"/>
    </row>
    <row r="44" spans="1:16" ht="12.75">
      <c r="B44" s="68"/>
      <c r="C44" s="68"/>
      <c r="D44" s="68"/>
      <c r="E44" s="68"/>
      <c r="F44" s="68"/>
      <c r="G44" s="68"/>
      <c r="H44" s="68"/>
      <c r="I44" s="68"/>
      <c r="J44" s="68"/>
      <c r="K44" s="68"/>
      <c r="L44" s="68"/>
      <c r="M44" s="68"/>
      <c r="N44" s="68"/>
      <c r="O44" s="68"/>
      <c r="P44" s="68"/>
    </row>
    <row r="45" spans="1:16" ht="12.75">
      <c r="B45" s="68"/>
      <c r="C45" s="68"/>
      <c r="D45" s="68"/>
      <c r="E45" s="68"/>
      <c r="F45" s="68"/>
      <c r="G45" s="68"/>
      <c r="H45" s="68"/>
      <c r="I45" s="68"/>
      <c r="J45" s="68"/>
      <c r="K45" s="68"/>
      <c r="L45" s="68"/>
      <c r="M45" s="68"/>
      <c r="N45" s="68"/>
      <c r="O45" s="68"/>
      <c r="P45" s="68"/>
    </row>
    <row r="46" spans="1:16" ht="15.75" customHeight="1">
      <c r="A46" s="457" t="s">
        <v>345</v>
      </c>
      <c r="B46" s="294"/>
      <c r="C46" s="294"/>
      <c r="D46" s="294"/>
      <c r="E46" s="294"/>
      <c r="F46" s="294"/>
      <c r="G46" s="294"/>
      <c r="H46" s="294"/>
      <c r="I46" s="294"/>
      <c r="J46" s="294"/>
      <c r="K46" s="294"/>
      <c r="L46" s="294"/>
      <c r="M46" s="294"/>
      <c r="N46" s="294"/>
      <c r="O46" s="294"/>
      <c r="P46" s="294"/>
    </row>
    <row r="47" spans="1:16" ht="15.75" customHeight="1">
      <c r="A47" s="294"/>
      <c r="B47" s="294"/>
      <c r="C47" s="294"/>
      <c r="D47" s="294"/>
      <c r="E47" s="294"/>
      <c r="F47" s="294"/>
      <c r="G47" s="294"/>
      <c r="H47" s="294"/>
      <c r="I47" s="294"/>
      <c r="J47" s="294"/>
      <c r="K47" s="294"/>
      <c r="L47" s="294"/>
      <c r="M47" s="294"/>
      <c r="N47" s="294"/>
      <c r="O47" s="294"/>
      <c r="P47" s="294"/>
    </row>
    <row r="48" spans="1:16" ht="15.75" customHeight="1">
      <c r="A48" s="458"/>
      <c r="B48" s="294"/>
      <c r="C48" s="294"/>
      <c r="D48" s="294"/>
      <c r="E48" s="294"/>
      <c r="F48" s="294"/>
      <c r="G48" s="294"/>
      <c r="H48" s="294"/>
      <c r="I48" s="294"/>
      <c r="J48" s="294"/>
      <c r="K48" s="294"/>
      <c r="L48" s="294"/>
      <c r="M48" s="294"/>
      <c r="N48" s="294"/>
      <c r="O48" s="294"/>
      <c r="P48" s="294"/>
    </row>
    <row r="49" spans="1:16" ht="15.75" customHeight="1">
      <c r="A49" s="294"/>
      <c r="B49" s="294"/>
      <c r="C49" s="294"/>
      <c r="D49" s="294"/>
      <c r="E49" s="294"/>
      <c r="F49" s="294"/>
      <c r="G49" s="294"/>
      <c r="H49" s="294"/>
      <c r="I49" s="294"/>
      <c r="J49" s="294"/>
      <c r="K49" s="294"/>
      <c r="L49" s="294"/>
      <c r="M49" s="294"/>
      <c r="N49" s="294"/>
      <c r="O49" s="294"/>
      <c r="P49" s="294"/>
    </row>
    <row r="50" spans="1:16" ht="15.75" customHeight="1">
      <c r="A50" s="294"/>
      <c r="B50" s="294"/>
      <c r="C50" s="294"/>
      <c r="D50" s="294"/>
      <c r="E50" s="294"/>
      <c r="F50" s="294"/>
      <c r="G50" s="294"/>
      <c r="H50" s="294"/>
      <c r="I50" s="294"/>
      <c r="J50" s="294"/>
      <c r="K50" s="294"/>
      <c r="L50" s="294"/>
      <c r="M50" s="294"/>
      <c r="N50" s="294"/>
      <c r="O50" s="294"/>
      <c r="P50" s="294"/>
    </row>
    <row r="51" spans="1:16" ht="15.75" customHeight="1">
      <c r="A51" s="294"/>
      <c r="B51" s="294"/>
      <c r="C51" s="294"/>
      <c r="D51" s="294"/>
      <c r="E51" s="294"/>
      <c r="F51" s="294"/>
      <c r="G51" s="294"/>
      <c r="H51" s="294"/>
      <c r="I51" s="294"/>
      <c r="J51" s="294"/>
      <c r="K51" s="294"/>
      <c r="L51" s="294"/>
      <c r="M51" s="294"/>
      <c r="N51" s="294"/>
      <c r="O51" s="294"/>
      <c r="P51" s="294"/>
    </row>
    <row r="52" spans="1:16" ht="15.75" customHeight="1">
      <c r="A52" s="294"/>
      <c r="B52" s="294"/>
      <c r="C52" s="294"/>
      <c r="D52" s="294"/>
      <c r="E52" s="294"/>
      <c r="F52" s="294"/>
      <c r="G52" s="294"/>
      <c r="H52" s="294"/>
      <c r="I52" s="294"/>
      <c r="J52" s="294"/>
      <c r="K52" s="294"/>
      <c r="L52" s="294"/>
      <c r="M52" s="294"/>
      <c r="N52" s="294"/>
      <c r="O52" s="294"/>
      <c r="P52" s="294"/>
    </row>
    <row r="53" spans="1:16" ht="15.75" customHeight="1">
      <c r="A53" s="294"/>
      <c r="B53" s="294"/>
      <c r="C53" s="294"/>
      <c r="D53" s="294"/>
      <c r="E53" s="294"/>
      <c r="F53" s="294"/>
      <c r="G53" s="294"/>
      <c r="H53" s="294"/>
      <c r="I53" s="294"/>
      <c r="J53" s="294"/>
      <c r="K53" s="294"/>
      <c r="L53" s="294"/>
      <c r="M53" s="294"/>
      <c r="N53" s="294"/>
      <c r="O53" s="294"/>
      <c r="P53" s="294"/>
    </row>
    <row r="54" spans="1:16" ht="15.75" customHeight="1">
      <c r="A54" s="294"/>
      <c r="B54" s="294"/>
      <c r="C54" s="294"/>
      <c r="D54" s="294"/>
      <c r="E54" s="294"/>
      <c r="F54" s="294"/>
      <c r="G54" s="294"/>
      <c r="H54" s="294"/>
      <c r="I54" s="294"/>
      <c r="J54" s="294"/>
      <c r="K54" s="294"/>
      <c r="L54" s="294"/>
      <c r="M54" s="294"/>
      <c r="N54" s="294"/>
      <c r="O54" s="294"/>
      <c r="P54" s="294"/>
    </row>
    <row r="55" spans="1:16" ht="15.75" customHeight="1">
      <c r="A55" s="294"/>
      <c r="B55" s="294"/>
      <c r="C55" s="294"/>
      <c r="D55" s="294"/>
      <c r="E55" s="294"/>
      <c r="F55" s="294"/>
      <c r="G55" s="294"/>
      <c r="H55" s="294"/>
      <c r="I55" s="294"/>
      <c r="J55" s="294"/>
      <c r="K55" s="294"/>
      <c r="L55" s="294"/>
      <c r="M55" s="294"/>
      <c r="N55" s="294"/>
      <c r="O55" s="294"/>
      <c r="P55" s="294"/>
    </row>
    <row r="56" spans="1:16" ht="15.75" customHeight="1">
      <c r="A56" s="294"/>
      <c r="B56" s="294"/>
      <c r="C56" s="294"/>
      <c r="D56" s="294"/>
      <c r="E56" s="294"/>
      <c r="F56" s="294"/>
      <c r="G56" s="294"/>
      <c r="H56" s="294"/>
      <c r="I56" s="294"/>
      <c r="J56" s="294"/>
      <c r="K56" s="294"/>
      <c r="L56" s="294"/>
      <c r="M56" s="294"/>
      <c r="N56" s="294"/>
      <c r="O56" s="294"/>
      <c r="P56" s="294"/>
    </row>
    <row r="57" spans="1:16" ht="15.75" customHeight="1">
      <c r="A57" s="294"/>
      <c r="B57" s="294"/>
      <c r="C57" s="294"/>
      <c r="D57" s="294"/>
      <c r="E57" s="294"/>
      <c r="F57" s="294"/>
      <c r="G57" s="294"/>
      <c r="H57" s="294"/>
      <c r="I57" s="294"/>
      <c r="J57" s="294"/>
      <c r="K57" s="294"/>
      <c r="L57" s="294"/>
      <c r="M57" s="294"/>
      <c r="N57" s="294"/>
      <c r="O57" s="294"/>
      <c r="P57" s="294"/>
    </row>
    <row r="58" spans="1:16" ht="15.75" customHeight="1">
      <c r="A58" s="294"/>
      <c r="B58" s="294"/>
      <c r="C58" s="294"/>
      <c r="D58" s="294"/>
      <c r="E58" s="294"/>
      <c r="F58" s="294"/>
      <c r="G58" s="294"/>
      <c r="H58" s="294"/>
      <c r="I58" s="294"/>
      <c r="J58" s="294"/>
      <c r="K58" s="294"/>
      <c r="L58" s="294"/>
      <c r="M58" s="294"/>
      <c r="N58" s="294"/>
      <c r="O58" s="294"/>
      <c r="P58" s="294"/>
    </row>
    <row r="59" spans="1:16" ht="15.75" customHeight="1">
      <c r="A59" s="294"/>
      <c r="B59" s="294"/>
      <c r="C59" s="294"/>
      <c r="D59" s="294"/>
      <c r="E59" s="294"/>
      <c r="F59" s="294"/>
      <c r="G59" s="294"/>
      <c r="H59" s="294"/>
      <c r="I59" s="294"/>
      <c r="J59" s="294"/>
      <c r="K59" s="294"/>
      <c r="L59" s="294"/>
      <c r="M59" s="294"/>
      <c r="N59" s="294"/>
      <c r="O59" s="294"/>
      <c r="P59" s="294"/>
    </row>
    <row r="60" spans="1:16" ht="15.75" customHeight="1">
      <c r="A60" s="294"/>
      <c r="B60" s="294"/>
      <c r="C60" s="294"/>
      <c r="D60" s="294"/>
      <c r="E60" s="294"/>
      <c r="F60" s="294"/>
      <c r="G60" s="294"/>
      <c r="H60" s="294"/>
      <c r="I60" s="294"/>
      <c r="J60" s="294"/>
      <c r="K60" s="294"/>
      <c r="L60" s="294"/>
      <c r="M60" s="294"/>
      <c r="N60" s="294"/>
      <c r="O60" s="294"/>
      <c r="P60" s="294"/>
    </row>
    <row r="61" spans="1:16" ht="15.75" customHeight="1">
      <c r="A61" s="294"/>
      <c r="B61" s="294"/>
      <c r="C61" s="294"/>
      <c r="D61" s="294"/>
      <c r="E61" s="294"/>
      <c r="F61" s="294"/>
      <c r="G61" s="294"/>
      <c r="H61" s="294"/>
      <c r="I61" s="294"/>
      <c r="J61" s="294"/>
      <c r="K61" s="294"/>
      <c r="L61" s="294"/>
      <c r="M61" s="294"/>
      <c r="N61" s="294"/>
      <c r="O61" s="294"/>
      <c r="P61" s="294"/>
    </row>
    <row r="62" spans="1:16" ht="15.75" customHeight="1">
      <c r="A62" s="294"/>
      <c r="B62" s="294"/>
      <c r="C62" s="294"/>
      <c r="D62" s="294"/>
      <c r="E62" s="294"/>
      <c r="F62" s="294"/>
      <c r="G62" s="294"/>
      <c r="H62" s="294"/>
      <c r="I62" s="294"/>
      <c r="J62" s="294"/>
      <c r="K62" s="294"/>
      <c r="L62" s="294"/>
      <c r="M62" s="294"/>
      <c r="N62" s="294"/>
      <c r="O62" s="294"/>
      <c r="P62" s="294"/>
    </row>
    <row r="63" spans="1:16" ht="15.75" customHeight="1">
      <c r="A63" s="294"/>
      <c r="B63" s="294"/>
      <c r="C63" s="294"/>
      <c r="D63" s="294"/>
      <c r="E63" s="294"/>
      <c r="F63" s="294"/>
      <c r="G63" s="294"/>
      <c r="H63" s="294"/>
      <c r="I63" s="294"/>
      <c r="J63" s="294"/>
      <c r="K63" s="294"/>
      <c r="L63" s="294"/>
      <c r="M63" s="294"/>
      <c r="N63" s="294"/>
      <c r="O63" s="294"/>
      <c r="P63" s="294"/>
    </row>
    <row r="64" spans="1:16" ht="15.75" customHeight="1">
      <c r="A64" s="294"/>
      <c r="B64" s="294"/>
      <c r="C64" s="294"/>
      <c r="D64" s="294"/>
      <c r="E64" s="294"/>
      <c r="F64" s="294"/>
      <c r="G64" s="294"/>
      <c r="H64" s="294"/>
      <c r="I64" s="294"/>
      <c r="J64" s="294"/>
      <c r="K64" s="294"/>
      <c r="L64" s="294"/>
      <c r="M64" s="294"/>
      <c r="N64" s="294"/>
      <c r="O64" s="294"/>
      <c r="P64" s="294"/>
    </row>
    <row r="65" spans="1:16" ht="15.75" customHeight="1">
      <c r="A65" s="294"/>
      <c r="B65" s="294"/>
      <c r="C65" s="294"/>
      <c r="D65" s="294"/>
      <c r="E65" s="294"/>
      <c r="F65" s="294"/>
      <c r="G65" s="294"/>
      <c r="H65" s="294"/>
      <c r="I65" s="294"/>
      <c r="J65" s="294"/>
      <c r="K65" s="294"/>
      <c r="L65" s="294"/>
      <c r="M65" s="294"/>
      <c r="N65" s="294"/>
      <c r="O65" s="294"/>
      <c r="P65" s="294"/>
    </row>
    <row r="66" spans="1:16" ht="15.75" customHeight="1">
      <c r="A66" s="294"/>
      <c r="B66" s="294"/>
      <c r="C66" s="294"/>
      <c r="D66" s="294"/>
      <c r="E66" s="294"/>
      <c r="F66" s="294"/>
      <c r="G66" s="294"/>
      <c r="H66" s="294"/>
      <c r="I66" s="294"/>
      <c r="J66" s="294"/>
      <c r="K66" s="294"/>
      <c r="L66" s="294"/>
      <c r="M66" s="294"/>
      <c r="N66" s="294"/>
      <c r="O66" s="294"/>
      <c r="P66" s="294"/>
    </row>
    <row r="67" spans="1:16" ht="15.75" customHeight="1">
      <c r="A67" s="294"/>
      <c r="B67" s="294"/>
      <c r="C67" s="294"/>
      <c r="D67" s="294"/>
      <c r="E67" s="294"/>
      <c r="F67" s="294"/>
      <c r="G67" s="294"/>
      <c r="H67" s="294"/>
      <c r="I67" s="294"/>
      <c r="J67" s="294"/>
      <c r="K67" s="294"/>
      <c r="L67" s="294"/>
      <c r="M67" s="294"/>
      <c r="N67" s="294"/>
      <c r="O67" s="294"/>
      <c r="P67" s="294"/>
    </row>
    <row r="68" spans="1:16" ht="15.75" customHeight="1">
      <c r="A68" s="294"/>
      <c r="B68" s="294"/>
      <c r="C68" s="294"/>
      <c r="D68" s="294"/>
      <c r="E68" s="294"/>
      <c r="F68" s="294"/>
      <c r="G68" s="294"/>
      <c r="H68" s="294"/>
      <c r="I68" s="294"/>
      <c r="J68" s="294"/>
      <c r="K68" s="294"/>
      <c r="L68" s="294"/>
      <c r="M68" s="294"/>
      <c r="N68" s="294"/>
      <c r="O68" s="294"/>
      <c r="P68" s="294"/>
    </row>
    <row r="69" spans="1:16" ht="15.75" customHeight="1">
      <c r="A69" s="294"/>
      <c r="B69" s="294"/>
      <c r="C69" s="294"/>
      <c r="D69" s="294"/>
      <c r="E69" s="294"/>
      <c r="F69" s="294"/>
      <c r="G69" s="294"/>
      <c r="H69" s="294"/>
      <c r="I69" s="294"/>
      <c r="J69" s="294"/>
      <c r="K69" s="294"/>
      <c r="L69" s="294"/>
      <c r="M69" s="294"/>
      <c r="N69" s="294"/>
      <c r="O69" s="294"/>
      <c r="P69" s="294"/>
    </row>
    <row r="70" spans="1:16" ht="15.75" customHeight="1">
      <c r="A70" s="294"/>
      <c r="B70" s="294"/>
      <c r="C70" s="294"/>
      <c r="D70" s="294"/>
      <c r="E70" s="294"/>
      <c r="F70" s="294"/>
      <c r="G70" s="294"/>
      <c r="H70" s="294"/>
      <c r="I70" s="294"/>
      <c r="J70" s="294"/>
      <c r="K70" s="294"/>
      <c r="L70" s="294"/>
      <c r="M70" s="294"/>
      <c r="N70" s="294"/>
      <c r="O70" s="294"/>
      <c r="P70" s="294"/>
    </row>
    <row r="71" spans="1:16" ht="15.75" customHeight="1">
      <c r="A71" s="294"/>
      <c r="B71" s="294"/>
      <c r="C71" s="294"/>
      <c r="D71" s="294"/>
      <c r="E71" s="294"/>
      <c r="F71" s="294"/>
      <c r="G71" s="294"/>
      <c r="H71" s="294"/>
      <c r="I71" s="294"/>
      <c r="J71" s="294"/>
      <c r="K71" s="294"/>
      <c r="L71" s="294"/>
      <c r="M71" s="294"/>
      <c r="N71" s="294"/>
      <c r="O71" s="294"/>
      <c r="P71" s="294"/>
    </row>
    <row r="72" spans="1:16" ht="15.75" customHeight="1">
      <c r="A72" s="294"/>
      <c r="B72" s="294"/>
      <c r="C72" s="294"/>
      <c r="D72" s="294"/>
      <c r="E72" s="294"/>
      <c r="F72" s="294"/>
      <c r="G72" s="294"/>
      <c r="H72" s="294"/>
      <c r="I72" s="294"/>
      <c r="J72" s="294"/>
      <c r="K72" s="294"/>
      <c r="L72" s="294"/>
      <c r="M72" s="294"/>
      <c r="N72" s="294"/>
      <c r="O72" s="294"/>
      <c r="P72" s="294"/>
    </row>
    <row r="73" spans="1:16" ht="15.75" customHeight="1">
      <c r="A73" s="294"/>
      <c r="B73" s="294"/>
      <c r="C73" s="294"/>
      <c r="D73" s="294"/>
      <c r="E73" s="294"/>
      <c r="F73" s="294"/>
      <c r="G73" s="294"/>
      <c r="H73" s="294"/>
      <c r="I73" s="294"/>
      <c r="J73" s="294"/>
      <c r="K73" s="294"/>
      <c r="L73" s="294"/>
      <c r="M73" s="294"/>
      <c r="N73" s="294"/>
      <c r="O73" s="294"/>
      <c r="P73" s="294"/>
    </row>
    <row r="76" spans="1:16" ht="15.75" customHeight="1">
      <c r="B76" s="68"/>
      <c r="C76" s="68"/>
      <c r="D76" s="68"/>
      <c r="E76" s="68"/>
      <c r="F76" s="68"/>
      <c r="G76" s="68"/>
      <c r="H76" s="68"/>
      <c r="I76" s="68"/>
      <c r="J76" s="68"/>
      <c r="K76" s="68"/>
      <c r="L76" s="68"/>
      <c r="M76" s="68"/>
      <c r="N76" s="68"/>
      <c r="O76" s="68"/>
      <c r="P76" s="68"/>
    </row>
    <row r="77" spans="1:16" ht="15.75" customHeight="1">
      <c r="B77" s="68"/>
      <c r="C77" s="68"/>
      <c r="D77" s="68"/>
      <c r="E77" s="68"/>
      <c r="F77" s="68"/>
      <c r="G77" s="68"/>
      <c r="H77" s="68"/>
      <c r="I77" s="68"/>
      <c r="J77" s="68"/>
      <c r="K77" s="68"/>
      <c r="L77" s="68"/>
      <c r="M77" s="68"/>
      <c r="N77" s="68"/>
      <c r="O77" s="68"/>
      <c r="P77" s="68"/>
    </row>
    <row r="78" spans="1:16" ht="15.75" customHeight="1">
      <c r="B78" s="68"/>
      <c r="C78" s="68"/>
      <c r="D78" s="68"/>
      <c r="E78" s="68"/>
      <c r="F78" s="68"/>
      <c r="G78" s="68"/>
      <c r="H78" s="68"/>
      <c r="I78" s="68"/>
      <c r="J78" s="68"/>
      <c r="K78" s="68"/>
      <c r="L78" s="68"/>
      <c r="M78" s="68"/>
      <c r="N78" s="68"/>
      <c r="O78" s="68"/>
      <c r="P78" s="68"/>
    </row>
    <row r="79" spans="1:16" ht="15.75" customHeight="1">
      <c r="B79" s="68"/>
      <c r="C79" s="68"/>
      <c r="D79" s="68"/>
      <c r="E79" s="68"/>
      <c r="F79" s="68"/>
      <c r="G79" s="68"/>
      <c r="H79" s="68"/>
      <c r="I79" s="68"/>
      <c r="J79" s="68"/>
      <c r="K79" s="68"/>
      <c r="L79" s="68"/>
      <c r="M79" s="68"/>
      <c r="N79" s="68"/>
      <c r="O79" s="68"/>
      <c r="P79" s="68"/>
    </row>
    <row r="80" spans="1:16" ht="15.75" customHeight="1">
      <c r="B80" s="68"/>
      <c r="C80" s="68"/>
      <c r="D80" s="68"/>
      <c r="E80" s="68"/>
      <c r="F80" s="68"/>
      <c r="G80" s="68"/>
      <c r="H80" s="68"/>
      <c r="I80" s="68"/>
      <c r="J80" s="68"/>
      <c r="K80" s="68"/>
      <c r="L80" s="68"/>
      <c r="M80" s="68"/>
      <c r="N80" s="68"/>
      <c r="O80" s="68"/>
      <c r="P80" s="68"/>
    </row>
    <row r="81" spans="1:16" ht="15.75" customHeight="1">
      <c r="B81" s="68"/>
      <c r="C81" s="68"/>
      <c r="D81" s="68"/>
      <c r="E81" s="68"/>
      <c r="F81" s="68"/>
      <c r="G81" s="68"/>
      <c r="H81" s="68"/>
      <c r="I81" s="68"/>
      <c r="J81" s="68"/>
      <c r="K81" s="68"/>
      <c r="L81" s="68"/>
      <c r="M81" s="68"/>
      <c r="N81" s="68"/>
      <c r="O81" s="68"/>
      <c r="P81" s="68"/>
    </row>
    <row r="82" spans="1:16" ht="15.75" customHeight="1">
      <c r="B82" s="68"/>
      <c r="C82" s="68"/>
      <c r="D82" s="68"/>
      <c r="E82" s="68"/>
      <c r="F82" s="68"/>
      <c r="G82" s="68"/>
      <c r="H82" s="68"/>
      <c r="I82" s="68"/>
      <c r="J82" s="68"/>
      <c r="K82" s="68"/>
      <c r="L82" s="68"/>
      <c r="M82" s="68"/>
      <c r="N82" s="68"/>
      <c r="O82" s="68"/>
      <c r="P82" s="68"/>
    </row>
    <row r="83" spans="1:16" ht="15.75" customHeight="1">
      <c r="B83" s="68"/>
      <c r="C83" s="68"/>
      <c r="D83" s="68"/>
      <c r="E83" s="68"/>
      <c r="F83" s="68"/>
      <c r="G83" s="68"/>
      <c r="H83" s="68"/>
      <c r="I83" s="68"/>
      <c r="J83" s="68"/>
      <c r="K83" s="68"/>
      <c r="L83" s="68"/>
      <c r="M83" s="68"/>
      <c r="N83" s="68"/>
      <c r="O83" s="68"/>
      <c r="P83" s="68"/>
    </row>
    <row r="84" spans="1:16" ht="15.75" customHeight="1">
      <c r="B84" s="68"/>
      <c r="C84" s="68"/>
      <c r="D84" s="68"/>
      <c r="E84" s="68"/>
      <c r="F84" s="68"/>
      <c r="G84" s="68"/>
      <c r="H84" s="68"/>
      <c r="I84" s="68"/>
      <c r="J84" s="68"/>
      <c r="K84" s="68"/>
      <c r="L84" s="68"/>
      <c r="M84" s="68"/>
      <c r="N84" s="68"/>
      <c r="O84" s="68"/>
      <c r="P84" s="68"/>
    </row>
    <row r="85" spans="1:16" ht="15.75" customHeight="1">
      <c r="B85" s="68"/>
      <c r="C85" s="68"/>
      <c r="D85" s="68"/>
      <c r="E85" s="68"/>
      <c r="F85" s="68"/>
      <c r="G85" s="68"/>
      <c r="H85" s="68"/>
      <c r="I85" s="68"/>
      <c r="J85" s="68"/>
      <c r="K85" s="68"/>
      <c r="L85" s="68"/>
      <c r="M85" s="68"/>
      <c r="N85" s="68"/>
      <c r="O85" s="68"/>
      <c r="P85" s="68"/>
    </row>
    <row r="86" spans="1:16" ht="15.75" customHeight="1">
      <c r="B86" s="68"/>
      <c r="C86" s="68"/>
      <c r="D86" s="68"/>
      <c r="E86" s="68"/>
      <c r="F86" s="68"/>
      <c r="G86" s="68"/>
      <c r="H86" s="68"/>
      <c r="I86" s="68"/>
      <c r="J86" s="68"/>
      <c r="K86" s="68"/>
      <c r="L86" s="68"/>
      <c r="M86" s="68"/>
      <c r="N86" s="68"/>
      <c r="O86" s="68"/>
      <c r="P86" s="68"/>
    </row>
    <row r="87" spans="1:16" ht="15.75" customHeight="1">
      <c r="A87" s="459" t="s">
        <v>346</v>
      </c>
      <c r="B87" s="460"/>
      <c r="C87" s="460"/>
      <c r="D87" s="460"/>
      <c r="E87" s="460"/>
      <c r="F87" s="460"/>
      <c r="G87" s="460"/>
      <c r="H87" s="460"/>
      <c r="I87" s="460"/>
      <c r="J87" s="460"/>
      <c r="K87" s="460"/>
      <c r="L87" s="460"/>
      <c r="M87" s="460"/>
      <c r="N87" s="460"/>
      <c r="O87" s="460"/>
      <c r="P87" s="460"/>
    </row>
    <row r="88" spans="1:16" ht="15.75" customHeight="1">
      <c r="A88" s="294"/>
      <c r="B88" s="294"/>
      <c r="C88" s="294"/>
      <c r="D88" s="294"/>
      <c r="E88" s="294"/>
      <c r="F88" s="294"/>
      <c r="G88" s="294"/>
      <c r="H88" s="294"/>
      <c r="I88" s="294"/>
      <c r="J88" s="294"/>
      <c r="K88" s="294"/>
      <c r="L88" s="294"/>
      <c r="M88" s="294"/>
      <c r="N88" s="294"/>
      <c r="O88" s="294"/>
      <c r="P88" s="294"/>
    </row>
    <row r="89" spans="1:16" ht="15.75" customHeight="1">
      <c r="A89" s="457" t="s">
        <v>347</v>
      </c>
      <c r="B89" s="294"/>
      <c r="C89" s="294"/>
      <c r="D89" s="294"/>
      <c r="E89" s="294"/>
      <c r="F89" s="294"/>
      <c r="G89" s="294"/>
      <c r="H89" s="294"/>
      <c r="I89" s="294"/>
      <c r="J89" s="294"/>
      <c r="K89" s="294"/>
      <c r="L89" s="294"/>
      <c r="M89" s="294"/>
      <c r="N89" s="294"/>
      <c r="O89" s="294"/>
      <c r="P89" s="294"/>
    </row>
    <row r="90" spans="1:16" ht="15.75" customHeight="1">
      <c r="A90" s="294"/>
      <c r="B90" s="294"/>
      <c r="C90" s="294"/>
      <c r="D90" s="294"/>
      <c r="E90" s="294"/>
      <c r="F90" s="294"/>
      <c r="G90" s="294"/>
      <c r="H90" s="294"/>
      <c r="I90" s="294"/>
      <c r="J90" s="294"/>
      <c r="K90" s="294"/>
      <c r="L90" s="294"/>
      <c r="M90" s="294"/>
      <c r="N90" s="294"/>
      <c r="O90" s="294"/>
      <c r="P90" s="294"/>
    </row>
    <row r="91" spans="1:16" ht="15.75" customHeight="1">
      <c r="B91" s="461" t="s">
        <v>0</v>
      </c>
      <c r="C91" s="319"/>
      <c r="D91" s="462" t="str">
        <f>K1</f>
        <v>Claudinei Rogério Gasparoto</v>
      </c>
      <c r="E91" s="319"/>
      <c r="F91" s="319"/>
      <c r="G91" s="319"/>
      <c r="H91" s="319"/>
      <c r="I91" s="319"/>
      <c r="J91" s="463" t="s">
        <v>348</v>
      </c>
      <c r="K91" s="319"/>
      <c r="L91" s="319"/>
      <c r="M91" s="319"/>
      <c r="N91" s="464">
        <f ca="1">'BD tratado'!C2</f>
        <v>0</v>
      </c>
      <c r="O91" s="319"/>
      <c r="P91" s="319"/>
    </row>
    <row r="92" spans="1:16" ht="15.75" customHeight="1">
      <c r="A92" s="68"/>
      <c r="B92" s="447" t="s">
        <v>28</v>
      </c>
      <c r="C92" s="294"/>
      <c r="D92" s="336" t="str">
        <f>Avaliação!K1</f>
        <v>Masculino</v>
      </c>
      <c r="E92" s="294"/>
      <c r="F92" s="294"/>
      <c r="G92" s="294"/>
      <c r="H92" s="294"/>
      <c r="I92" s="294"/>
      <c r="J92" s="447" t="s">
        <v>349</v>
      </c>
      <c r="K92" s="294"/>
      <c r="L92" s="294"/>
      <c r="M92" s="294"/>
      <c r="N92" s="465">
        <f ca="1">'BD tratado'!C3</f>
        <v>0</v>
      </c>
      <c r="O92" s="294"/>
      <c r="P92" s="294"/>
    </row>
    <row r="93" spans="1:16" ht="15.75" customHeight="1">
      <c r="A93" s="68"/>
      <c r="B93" s="447" t="s">
        <v>350</v>
      </c>
      <c r="C93" s="294"/>
      <c r="D93" s="466">
        <f>Avaliação!H1</f>
        <v>26471</v>
      </c>
      <c r="E93" s="294"/>
      <c r="F93" s="294"/>
      <c r="G93" s="294"/>
      <c r="H93" s="294"/>
      <c r="I93" s="294"/>
      <c r="J93" s="447" t="s">
        <v>351</v>
      </c>
      <c r="K93" s="294"/>
      <c r="L93" s="294"/>
      <c r="M93" s="294"/>
      <c r="N93" s="467" t="str">
        <f ca="1">'BD tratado'!C6</f>
        <v/>
      </c>
      <c r="O93" s="294"/>
      <c r="P93" s="294"/>
    </row>
    <row r="94" spans="1:16" ht="15.75" customHeight="1">
      <c r="A94" s="68"/>
      <c r="B94" s="447" t="s">
        <v>62</v>
      </c>
      <c r="C94" s="294"/>
      <c r="D94" s="336" t="str">
        <f ca="1">'BD tratado'!C5</f>
        <v/>
      </c>
      <c r="E94" s="294"/>
      <c r="F94" s="294"/>
      <c r="G94" s="294"/>
      <c r="H94" s="294"/>
      <c r="I94" s="294"/>
      <c r="J94" s="447" t="s">
        <v>60</v>
      </c>
      <c r="K94" s="294"/>
      <c r="L94" s="294"/>
      <c r="M94" s="294"/>
      <c r="N94" s="448">
        <f ca="1">'BD tratado'!C4</f>
        <v>0</v>
      </c>
      <c r="O94" s="294"/>
      <c r="P94" s="294"/>
    </row>
    <row r="95" spans="1:16" ht="15.75" customHeight="1">
      <c r="A95" s="68"/>
      <c r="B95" s="447" t="s">
        <v>30</v>
      </c>
      <c r="C95" s="294"/>
      <c r="D95" s="336" t="str">
        <f>Avaliação!O1</f>
        <v>Ativo</v>
      </c>
      <c r="E95" s="294"/>
      <c r="F95" s="294"/>
      <c r="G95" s="294"/>
      <c r="H95" s="294"/>
      <c r="I95" s="294"/>
      <c r="J95" s="447" t="s">
        <v>352</v>
      </c>
      <c r="K95" s="294"/>
      <c r="L95" s="294"/>
      <c r="M95" s="294"/>
      <c r="N95" s="448" t="str">
        <f>Avaliação!T1</f>
        <v>Negativo</v>
      </c>
      <c r="O95" s="294"/>
      <c r="P95" s="294"/>
    </row>
    <row r="96" spans="1:16" ht="15.75" customHeight="1">
      <c r="A96" s="68"/>
      <c r="B96" s="120"/>
      <c r="C96" s="120"/>
      <c r="D96" s="121"/>
      <c r="E96" s="121"/>
      <c r="F96" s="121"/>
      <c r="G96" s="121"/>
      <c r="H96" s="121"/>
      <c r="I96" s="121"/>
      <c r="J96" s="450" t="s">
        <v>353</v>
      </c>
      <c r="K96" s="317"/>
      <c r="L96" s="317"/>
      <c r="M96" s="317"/>
      <c r="N96" s="449" t="str">
        <f>Avaliação!Y1</f>
        <v>Baixo risco</v>
      </c>
      <c r="O96" s="317"/>
      <c r="P96" s="317"/>
    </row>
    <row r="97" spans="1:16" ht="15.75" customHeight="1">
      <c r="A97" s="68"/>
    </row>
    <row r="98" spans="1:16" ht="15.75" customHeight="1">
      <c r="A98" s="392" t="s">
        <v>354</v>
      </c>
      <c r="B98" s="294"/>
      <c r="C98" s="294"/>
      <c r="D98" s="294"/>
      <c r="E98" s="294"/>
      <c r="F98" s="294"/>
      <c r="G98" s="294"/>
      <c r="H98" s="294"/>
      <c r="I98" s="294"/>
      <c r="J98" s="294"/>
      <c r="K98" s="294"/>
      <c r="L98" s="294"/>
      <c r="M98" s="294"/>
      <c r="N98" s="294"/>
      <c r="O98" s="294"/>
      <c r="P98" s="294"/>
    </row>
    <row r="99" spans="1:16" ht="15.75" customHeight="1">
      <c r="A99" s="294"/>
      <c r="B99" s="294"/>
      <c r="C99" s="294"/>
      <c r="D99" s="294"/>
      <c r="E99" s="294"/>
      <c r="F99" s="294"/>
      <c r="G99" s="294"/>
      <c r="H99" s="294"/>
      <c r="I99" s="294"/>
      <c r="J99" s="294"/>
      <c r="K99" s="294"/>
      <c r="L99" s="294"/>
      <c r="M99" s="294"/>
      <c r="N99" s="294"/>
      <c r="O99" s="294"/>
      <c r="P99" s="294"/>
    </row>
    <row r="100" spans="1:16" ht="15.75" customHeight="1">
      <c r="A100" s="431" t="s">
        <v>355</v>
      </c>
      <c r="B100" s="319"/>
      <c r="C100" s="319"/>
      <c r="D100" s="431" t="str">
        <f>Avaliação!$D$2</f>
        <v>Av1</v>
      </c>
      <c r="E100" s="319"/>
      <c r="F100" s="432" t="s">
        <v>39</v>
      </c>
      <c r="G100" s="431" t="str">
        <f ca="1">IF('BD tratado'!$A$147&gt;4,OFFSET('BD tratado'!$D$1,,'BD tratado'!$A$147-2),BD!$C$1)</f>
        <v>Av13</v>
      </c>
      <c r="H100" s="319"/>
      <c r="I100" s="432" t="s">
        <v>39</v>
      </c>
      <c r="J100" s="431" t="str">
        <f ca="1">IF('BD tratado'!$A$147&gt;4,OFFSET('BD tratado'!$D$1,,'BD tratado'!$A$147-1),BD!$D$1)</f>
        <v>Av14</v>
      </c>
      <c r="K100" s="319"/>
      <c r="L100" s="432" t="s">
        <v>39</v>
      </c>
      <c r="M100" s="431" t="str">
        <f ca="1">IF('BD tratado'!$A$147&gt;4,OFFSET('BD tratado'!$D$1,,'BD tratado'!$A$147),BD!$E$1)</f>
        <v>Av15</v>
      </c>
      <c r="N100" s="319"/>
      <c r="O100" s="431" t="s">
        <v>356</v>
      </c>
      <c r="P100" s="319"/>
    </row>
    <row r="101" spans="1:16" ht="15.75" customHeight="1">
      <c r="A101" s="317"/>
      <c r="B101" s="317"/>
      <c r="C101" s="317"/>
      <c r="D101" s="365">
        <f ca="1">OFFSET(BD!$A$2,,MATCH(D100,BD!$B$1:$P$1,0))</f>
        <v>44517</v>
      </c>
      <c r="E101" s="317"/>
      <c r="F101" s="317"/>
      <c r="G101" s="365">
        <f ca="1">OFFSET(BD!$A$2,,MATCH(G100,BD!$B$1:$P$1,0))</f>
        <v>0</v>
      </c>
      <c r="H101" s="317"/>
      <c r="I101" s="317"/>
      <c r="J101" s="365">
        <f ca="1">OFFSET(BD!$A$2,,MATCH(J100,BD!$B$1:$P$1,0))</f>
        <v>0</v>
      </c>
      <c r="K101" s="317"/>
      <c r="L101" s="317"/>
      <c r="M101" s="365">
        <f ca="1">OFFSET(BD!$A$2,,MATCH(M100,BD!$B$1:$P$1,0))</f>
        <v>0</v>
      </c>
      <c r="N101" s="317"/>
      <c r="O101" s="317"/>
      <c r="P101" s="317"/>
    </row>
    <row r="102" spans="1:16" ht="15.75" customHeight="1">
      <c r="A102" s="447" t="s">
        <v>357</v>
      </c>
      <c r="B102" s="294"/>
      <c r="C102" s="294"/>
      <c r="D102" s="468">
        <f ca="1">OFFSET(BD!$A8,0,MATCH(D$100,BD!$B$1:$I$1,0))</f>
        <v>75.7</v>
      </c>
      <c r="E102" s="294"/>
      <c r="F102" s="123" t="str">
        <f t="shared" ref="F102:F116" ca="1" si="0">IF(OR(D102="-",G102="-"),"-",(G102-D102)*100/D102)</f>
        <v>-</v>
      </c>
      <c r="G102" s="468" t="str">
        <f ca="1">OFFSET(BD!$A8,0,MATCH(G$100,BD!$B$1:$P$1,0))</f>
        <v>-</v>
      </c>
      <c r="H102" s="294"/>
      <c r="I102" s="123" t="str">
        <f t="shared" ref="I102:I116" ca="1" si="1">IF(OR(G102="-",J102="-"),"-",(J102-G102)*100/G102)</f>
        <v>-</v>
      </c>
      <c r="J102" s="468" t="str">
        <f ca="1">OFFSET(BD!$A8,0,MATCH(J$100,BD!$B$1:$P$1,0))</f>
        <v>-</v>
      </c>
      <c r="K102" s="294"/>
      <c r="L102" s="123" t="str">
        <f t="shared" ref="L102:L116" ca="1" si="2">IF(OR(J102="-",M102="-"),"-",(M102-J102)*100/J102)</f>
        <v>-</v>
      </c>
      <c r="M102" s="468" t="str">
        <f ca="1">OFFSET(BD!$A8,0,MATCH(M$100,BD!$B$1:$P$1,0))</f>
        <v>-</v>
      </c>
      <c r="N102" s="294"/>
      <c r="O102" s="468" t="e">
        <f ca="1">'BD tratado'!D8</f>
        <v>#NAME?</v>
      </c>
      <c r="P102" s="294"/>
    </row>
    <row r="103" spans="1:16" ht="15.75" customHeight="1">
      <c r="A103" s="447" t="s">
        <v>358</v>
      </c>
      <c r="B103" s="294"/>
      <c r="C103" s="294"/>
      <c r="D103" s="468">
        <f ca="1">OFFSET(BD!$A9,0,MATCH(D$100,BD!$B$1:$P$1,0))</f>
        <v>172.8</v>
      </c>
      <c r="E103" s="294"/>
      <c r="F103" s="123" t="str">
        <f t="shared" ca="1" si="0"/>
        <v>-</v>
      </c>
      <c r="G103" s="468" t="str">
        <f ca="1">OFFSET(BD!$A9,0,MATCH(G$100,BD!$B$1:$P$1,0))</f>
        <v>-</v>
      </c>
      <c r="H103" s="294"/>
      <c r="I103" s="123" t="str">
        <f t="shared" ca="1" si="1"/>
        <v>-</v>
      </c>
      <c r="J103" s="468" t="str">
        <f ca="1">OFFSET(BD!$A9,0,MATCH(J$100,BD!$B$1:$P$1,0))</f>
        <v>-</v>
      </c>
      <c r="K103" s="294"/>
      <c r="L103" s="123" t="str">
        <f t="shared" ca="1" si="2"/>
        <v>-</v>
      </c>
      <c r="M103" s="468" t="str">
        <f ca="1">OFFSET(BD!$A9,0,MATCH(M$100,BD!$B$1:$P$1,0))</f>
        <v>-</v>
      </c>
      <c r="N103" s="294"/>
      <c r="O103" s="468" t="e">
        <f ca="1">'BD tratado'!D9</f>
        <v>#NAME?</v>
      </c>
      <c r="P103" s="294"/>
    </row>
    <row r="104" spans="1:16" ht="15.75" customHeight="1">
      <c r="A104" s="447" t="s">
        <v>69</v>
      </c>
      <c r="B104" s="294"/>
      <c r="C104" s="294"/>
      <c r="D104" s="468">
        <f ca="1">OFFSET(BD!$A11,0,MATCH(D$100,BD!$B$1:$P$1,0))</f>
        <v>116.8</v>
      </c>
      <c r="E104" s="294"/>
      <c r="F104" s="123" t="str">
        <f t="shared" ca="1" si="0"/>
        <v>-</v>
      </c>
      <c r="G104" s="468" t="str">
        <f ca="1">OFFSET(BD!$A11,0,MATCH(G$100,BD!$B$1:$P$1,0))</f>
        <v>-</v>
      </c>
      <c r="H104" s="294"/>
      <c r="I104" s="123" t="str">
        <f t="shared" ca="1" si="1"/>
        <v>-</v>
      </c>
      <c r="J104" s="331" t="str">
        <f ca="1">OFFSET(BD!$A11,0,MATCH(J$100,BD!$B$1:$P$1,0))</f>
        <v>-</v>
      </c>
      <c r="K104" s="294"/>
      <c r="L104" s="123" t="str">
        <f t="shared" ca="1" si="2"/>
        <v>-</v>
      </c>
      <c r="M104" s="331" t="str">
        <f ca="1">OFFSET(BD!$A11,0,MATCH(M$100,BD!$B$1:$P$1,0))</f>
        <v>-</v>
      </c>
      <c r="N104" s="294"/>
      <c r="O104" s="468" t="e">
        <f ca="1">'BD tratado'!D11</f>
        <v>#NAME?</v>
      </c>
      <c r="P104" s="294"/>
    </row>
    <row r="105" spans="1:16" ht="15.75" customHeight="1">
      <c r="A105" s="447" t="s">
        <v>70</v>
      </c>
      <c r="B105" s="294"/>
      <c r="C105" s="294"/>
      <c r="D105" s="468">
        <f ca="1">OFFSET(BD!$A12,0,MATCH(D$100,BD!$B$1:$P$1,0))</f>
        <v>99</v>
      </c>
      <c r="E105" s="294"/>
      <c r="F105" s="123" t="str">
        <f t="shared" ca="1" si="0"/>
        <v>-</v>
      </c>
      <c r="G105" s="468" t="str">
        <f ca="1">OFFSET(BD!$A12,0,MATCH(G$100,BD!$B$1:$P$1,0))</f>
        <v>-</v>
      </c>
      <c r="H105" s="294"/>
      <c r="I105" s="123" t="str">
        <f t="shared" ca="1" si="1"/>
        <v>-</v>
      </c>
      <c r="J105" s="331" t="str">
        <f ca="1">OFFSET(BD!$A12,0,MATCH(J$100,BD!$B$1:$P$1,0))</f>
        <v>-</v>
      </c>
      <c r="K105" s="294"/>
      <c r="L105" s="123" t="str">
        <f t="shared" ca="1" si="2"/>
        <v>-</v>
      </c>
      <c r="M105" s="331" t="str">
        <f ca="1">OFFSET(BD!$A12,0,MATCH(M$100,BD!$B$1:$P$1,0))</f>
        <v>-</v>
      </c>
      <c r="N105" s="294"/>
      <c r="O105" s="468" t="e">
        <f ca="1">'BD tratado'!D12</f>
        <v>#NAME?</v>
      </c>
      <c r="P105" s="294"/>
    </row>
    <row r="106" spans="1:16" ht="15.75" customHeight="1">
      <c r="A106" s="447" t="s">
        <v>71</v>
      </c>
      <c r="B106" s="294"/>
      <c r="C106" s="294"/>
      <c r="D106" s="468">
        <f ca="1">OFFSET(BD!$A13,0,MATCH(D$100,BD!$B$1:$P$1,0))</f>
        <v>97</v>
      </c>
      <c r="E106" s="294"/>
      <c r="F106" s="123" t="str">
        <f t="shared" ca="1" si="0"/>
        <v>-</v>
      </c>
      <c r="G106" s="468" t="str">
        <f ca="1">OFFSET(BD!$A13,0,MATCH(G$100,BD!$B$1:$P$1,0))</f>
        <v>-</v>
      </c>
      <c r="H106" s="294"/>
      <c r="I106" s="123" t="str">
        <f t="shared" ca="1" si="1"/>
        <v>-</v>
      </c>
      <c r="J106" s="331" t="str">
        <f ca="1">OFFSET(BD!$A13,0,MATCH(J$100,BD!$B$1:$P$1,0))</f>
        <v>-</v>
      </c>
      <c r="K106" s="294"/>
      <c r="L106" s="123" t="str">
        <f t="shared" ca="1" si="2"/>
        <v>-</v>
      </c>
      <c r="M106" s="331" t="str">
        <f ca="1">OFFSET(BD!$A13,0,MATCH(M$100,BD!$B$1:$P$1,0))</f>
        <v>-</v>
      </c>
      <c r="N106" s="294"/>
      <c r="O106" s="468" t="e">
        <f ca="1">'BD tratado'!D13</f>
        <v>#NAME?</v>
      </c>
      <c r="P106" s="294"/>
    </row>
    <row r="107" spans="1:16" ht="15.75" customHeight="1">
      <c r="A107" s="447" t="s">
        <v>72</v>
      </c>
      <c r="B107" s="294"/>
      <c r="C107" s="294"/>
      <c r="D107" s="468">
        <f ca="1">OFFSET(BD!$A14,0,MATCH(D$100,BD!$B$1:$P$1,0))</f>
        <v>88.5</v>
      </c>
      <c r="E107" s="294"/>
      <c r="F107" s="123" t="str">
        <f t="shared" ca="1" si="0"/>
        <v>-</v>
      </c>
      <c r="G107" s="468" t="str">
        <f ca="1">OFFSET(BD!$A14,0,MATCH(G$100,BD!$B$1:$P$1,0))</f>
        <v>-</v>
      </c>
      <c r="H107" s="294"/>
      <c r="I107" s="123" t="str">
        <f t="shared" ca="1" si="1"/>
        <v>-</v>
      </c>
      <c r="J107" s="468" t="str">
        <f ca="1">OFFSET(BD!$A14,0,MATCH(J$100,BD!$B$1:$P$1,0))</f>
        <v>-</v>
      </c>
      <c r="K107" s="294"/>
      <c r="L107" s="123" t="str">
        <f t="shared" ca="1" si="2"/>
        <v>-</v>
      </c>
      <c r="M107" s="468" t="str">
        <f ca="1">OFFSET(BD!$A14,0,MATCH(M$100,BD!$B$1:$P$1,0))</f>
        <v>-</v>
      </c>
      <c r="N107" s="294"/>
      <c r="O107" s="468" t="e">
        <f ca="1">'BD tratado'!D14</f>
        <v>#NAME?</v>
      </c>
      <c r="P107" s="294"/>
    </row>
    <row r="108" spans="1:16" ht="15.75" customHeight="1">
      <c r="A108" s="447" t="s">
        <v>73</v>
      </c>
      <c r="B108" s="294"/>
      <c r="C108" s="294"/>
      <c r="D108" s="468">
        <f ca="1">OFFSET(BD!$A15,0,MATCH(D$100,BD!$B$1:$P$1,0))</f>
        <v>94</v>
      </c>
      <c r="E108" s="294"/>
      <c r="F108" s="123" t="str">
        <f t="shared" ca="1" si="0"/>
        <v>-</v>
      </c>
      <c r="G108" s="468" t="str">
        <f ca="1">OFFSET(BD!$A15,0,MATCH(G$100,BD!$B$1:$P$1,0))</f>
        <v>-</v>
      </c>
      <c r="H108" s="294"/>
      <c r="I108" s="123" t="str">
        <f t="shared" ca="1" si="1"/>
        <v>-</v>
      </c>
      <c r="J108" s="468" t="str">
        <f ca="1">OFFSET(BD!$A15,0,MATCH(J$100,BD!$B$1:$P$1,0))</f>
        <v>-</v>
      </c>
      <c r="K108" s="294"/>
      <c r="L108" s="123" t="str">
        <f t="shared" ca="1" si="2"/>
        <v>-</v>
      </c>
      <c r="M108" s="468" t="str">
        <f ca="1">OFFSET(BD!$A15,0,MATCH(M$100,BD!$B$1:$P$1,0))</f>
        <v>-</v>
      </c>
      <c r="N108" s="294"/>
      <c r="O108" s="468" t="e">
        <f ca="1">'BD tratado'!D15</f>
        <v>#NAME?</v>
      </c>
      <c r="P108" s="294"/>
    </row>
    <row r="109" spans="1:16" ht="15.75" customHeight="1">
      <c r="A109" s="447" t="s">
        <v>74</v>
      </c>
      <c r="B109" s="294"/>
      <c r="C109" s="294"/>
      <c r="D109" s="468">
        <f ca="1">OFFSET(BD!$A16,0,MATCH(D$100,BD!$B$1:$P$1,0))</f>
        <v>26.5</v>
      </c>
      <c r="E109" s="294"/>
      <c r="F109" s="123" t="str">
        <f t="shared" ca="1" si="0"/>
        <v>-</v>
      </c>
      <c r="G109" s="468" t="str">
        <f ca="1">OFFSET(BD!$A16,0,MATCH(G$100,BD!$B$1:$P$1,0))</f>
        <v>-</v>
      </c>
      <c r="H109" s="294"/>
      <c r="I109" s="123" t="str">
        <f t="shared" ca="1" si="1"/>
        <v>-</v>
      </c>
      <c r="J109" s="331" t="str">
        <f ca="1">OFFSET(BD!$A16,0,MATCH(J$100,BD!$B$1:$P$1,0))</f>
        <v>-</v>
      </c>
      <c r="K109" s="294"/>
      <c r="L109" s="123" t="str">
        <f t="shared" ca="1" si="2"/>
        <v>-</v>
      </c>
      <c r="M109" s="331" t="str">
        <f ca="1">OFFSET(BD!$A16,0,MATCH(M$100,BD!$B$1:$P$1,0))</f>
        <v>-</v>
      </c>
      <c r="N109" s="294"/>
      <c r="O109" s="468" t="e">
        <f ca="1">'BD tratado'!D16</f>
        <v>#NAME?</v>
      </c>
      <c r="P109" s="294"/>
    </row>
    <row r="110" spans="1:16" ht="15.75" customHeight="1">
      <c r="A110" s="447" t="s">
        <v>75</v>
      </c>
      <c r="B110" s="294"/>
      <c r="C110" s="294"/>
      <c r="D110" s="468">
        <f ca="1">OFFSET(BD!$A17,0,MATCH(D$100,BD!$B$1:$P$1,0))</f>
        <v>30</v>
      </c>
      <c r="E110" s="294"/>
      <c r="F110" s="123" t="str">
        <f t="shared" ca="1" si="0"/>
        <v>-</v>
      </c>
      <c r="G110" s="468" t="str">
        <f ca="1">OFFSET(BD!$A17,0,MATCH(G$100,BD!$B$1:$P$1,0))</f>
        <v>-</v>
      </c>
      <c r="H110" s="294"/>
      <c r="I110" s="123" t="str">
        <f t="shared" ca="1" si="1"/>
        <v>-</v>
      </c>
      <c r="J110" s="331" t="str">
        <f ca="1">OFFSET(BD!$A17,0,MATCH(J$100,BD!$B$1:$P$1,0))</f>
        <v>-</v>
      </c>
      <c r="K110" s="294"/>
      <c r="L110" s="123" t="str">
        <f t="shared" ca="1" si="2"/>
        <v>-</v>
      </c>
      <c r="M110" s="331" t="str">
        <f ca="1">OFFSET(BD!$A17,0,MATCH(M$100,BD!$B$1:$P$1,0))</f>
        <v>-</v>
      </c>
      <c r="N110" s="294"/>
      <c r="O110" s="468" t="e">
        <f ca="1">'BD tratado'!D17</f>
        <v>#NAME?</v>
      </c>
      <c r="P110" s="294"/>
    </row>
    <row r="111" spans="1:16" ht="15.75" customHeight="1">
      <c r="A111" s="447" t="s">
        <v>76</v>
      </c>
      <c r="B111" s="294"/>
      <c r="C111" s="294"/>
      <c r="D111" s="468">
        <f ca="1">OFFSET(BD!$A18,0,MATCH(D$100,BD!$B$1:$P$1,0))</f>
        <v>53</v>
      </c>
      <c r="E111" s="294"/>
      <c r="F111" s="123" t="str">
        <f t="shared" ca="1" si="0"/>
        <v>-</v>
      </c>
      <c r="G111" s="468" t="str">
        <f ca="1">OFFSET(BD!$A18,0,MATCH(G$100,BD!$B$1:$P$1,0))</f>
        <v>-</v>
      </c>
      <c r="H111" s="294"/>
      <c r="I111" s="123" t="str">
        <f t="shared" ca="1" si="1"/>
        <v>-</v>
      </c>
      <c r="J111" s="331" t="str">
        <f ca="1">OFFSET(BD!$A18,0,MATCH(J$100,BD!$B$1:$P$1,0))</f>
        <v>-</v>
      </c>
      <c r="K111" s="294"/>
      <c r="L111" s="123" t="str">
        <f t="shared" ca="1" si="2"/>
        <v>-</v>
      </c>
      <c r="M111" s="331" t="str">
        <f ca="1">OFFSET(BD!$A18,0,MATCH(M$100,BD!$B$1:$P$1,0))</f>
        <v>-</v>
      </c>
      <c r="N111" s="294"/>
      <c r="O111" s="468" t="e">
        <f ca="1">'BD tratado'!D18</f>
        <v>#NAME?</v>
      </c>
      <c r="P111" s="294"/>
    </row>
    <row r="112" spans="1:16" ht="15.75" customHeight="1">
      <c r="A112" s="447" t="s">
        <v>77</v>
      </c>
      <c r="B112" s="294"/>
      <c r="C112" s="294"/>
      <c r="D112" s="468">
        <f ca="1">OFFSET(BD!$A19,0,MATCH(D$100,BD!$B$1:$P$1,0))</f>
        <v>39.299999999999997</v>
      </c>
      <c r="E112" s="294"/>
      <c r="F112" s="123" t="str">
        <f t="shared" ca="1" si="0"/>
        <v>-</v>
      </c>
      <c r="G112" s="468" t="str">
        <f ca="1">OFFSET(BD!$A19,0,MATCH(G$100,BD!$B$1:$P$1,0))</f>
        <v>-</v>
      </c>
      <c r="H112" s="294"/>
      <c r="I112" s="123" t="str">
        <f t="shared" ca="1" si="1"/>
        <v>-</v>
      </c>
      <c r="J112" s="331" t="str">
        <f ca="1">OFFSET(BD!$A19,0,MATCH(J$100,BD!$B$1:$P$1,0))</f>
        <v>-</v>
      </c>
      <c r="K112" s="294"/>
      <c r="L112" s="123" t="str">
        <f t="shared" ca="1" si="2"/>
        <v>-</v>
      </c>
      <c r="M112" s="331" t="str">
        <f ca="1">OFFSET(BD!$A19,0,MATCH(M$100,BD!$B$1:$P$1,0))</f>
        <v>-</v>
      </c>
      <c r="N112" s="294"/>
      <c r="O112" s="468" t="e">
        <f ca="1">'BD tratado'!D19</f>
        <v>#NAME?</v>
      </c>
      <c r="P112" s="294"/>
    </row>
    <row r="113" spans="1:16" ht="15.75" customHeight="1">
      <c r="A113" s="447" t="s">
        <v>78</v>
      </c>
      <c r="B113" s="294"/>
      <c r="C113" s="294"/>
      <c r="D113" s="468">
        <f ca="1">OFFSET(BD!$A20,0,MATCH(D$100,BD!$B$1:$P$1,0))</f>
        <v>26.5</v>
      </c>
      <c r="E113" s="294"/>
      <c r="F113" s="123" t="str">
        <f t="shared" ca="1" si="0"/>
        <v>-</v>
      </c>
      <c r="G113" s="468" t="str">
        <f ca="1">OFFSET(BD!$A20,0,MATCH(G$100,BD!$B$1:$P$1,0))</f>
        <v>-</v>
      </c>
      <c r="H113" s="294"/>
      <c r="I113" s="123" t="str">
        <f t="shared" ca="1" si="1"/>
        <v>-</v>
      </c>
      <c r="J113" s="331" t="str">
        <f ca="1">OFFSET(BD!$A20,0,MATCH(J$100,BD!$B$1:$P$1,0))</f>
        <v>-</v>
      </c>
      <c r="K113" s="294"/>
      <c r="L113" s="123" t="str">
        <f t="shared" ca="1" si="2"/>
        <v>-</v>
      </c>
      <c r="M113" s="331" t="str">
        <f ca="1">OFFSET(BD!$A20,0,MATCH(M$100,BD!$B$1:$P$1,0))</f>
        <v>-</v>
      </c>
      <c r="N113" s="294"/>
      <c r="O113" s="468" t="e">
        <f ca="1">'BD tratado'!D20</f>
        <v>#NAME?</v>
      </c>
      <c r="P113" s="294"/>
    </row>
    <row r="114" spans="1:16" ht="15.75" customHeight="1">
      <c r="A114" s="447" t="s">
        <v>79</v>
      </c>
      <c r="B114" s="294"/>
      <c r="C114" s="294"/>
      <c r="D114" s="468">
        <f ca="1">OFFSET(BD!$A21,0,MATCH(D$100,BD!$B$1:$P$1,0))</f>
        <v>30</v>
      </c>
      <c r="E114" s="294"/>
      <c r="F114" s="123" t="str">
        <f t="shared" ca="1" si="0"/>
        <v>-</v>
      </c>
      <c r="G114" s="468" t="str">
        <f ca="1">OFFSET(BD!$A21,0,MATCH(G$100,BD!$B$1:$P$1,0))</f>
        <v>-</v>
      </c>
      <c r="H114" s="294"/>
      <c r="I114" s="123" t="str">
        <f t="shared" ca="1" si="1"/>
        <v>-</v>
      </c>
      <c r="J114" s="331" t="str">
        <f ca="1">OFFSET(BD!$A21,0,MATCH(J$100,BD!$B$1:$P$1,0))</f>
        <v>-</v>
      </c>
      <c r="K114" s="294"/>
      <c r="L114" s="123" t="str">
        <f t="shared" ca="1" si="2"/>
        <v>-</v>
      </c>
      <c r="M114" s="331" t="str">
        <f ca="1">OFFSET(BD!$A21,0,MATCH(M$100,BD!$B$1:$P$1,0))</f>
        <v>-</v>
      </c>
      <c r="N114" s="294"/>
      <c r="O114" s="468" t="e">
        <f ca="1">'BD tratado'!D21</f>
        <v>#NAME?</v>
      </c>
      <c r="P114" s="294"/>
    </row>
    <row r="115" spans="1:16" ht="15.75" customHeight="1">
      <c r="A115" s="447" t="s">
        <v>80</v>
      </c>
      <c r="B115" s="294"/>
      <c r="C115" s="294"/>
      <c r="D115" s="468">
        <f ca="1">OFFSET(BD!$A22,0,MATCH(D$100,BD!$B$1:$P$1,0))</f>
        <v>53.3</v>
      </c>
      <c r="E115" s="294"/>
      <c r="F115" s="123" t="str">
        <f t="shared" ca="1" si="0"/>
        <v>-</v>
      </c>
      <c r="G115" s="468" t="str">
        <f ca="1">OFFSET(BD!$A22,0,MATCH(G$100,BD!$B$1:$P$1,0))</f>
        <v>-</v>
      </c>
      <c r="H115" s="294"/>
      <c r="I115" s="123" t="str">
        <f t="shared" ca="1" si="1"/>
        <v>-</v>
      </c>
      <c r="J115" s="331" t="str">
        <f ca="1">OFFSET(BD!$A22,0,MATCH(J$100,BD!$B$1:$P$1,0))</f>
        <v>-</v>
      </c>
      <c r="K115" s="294"/>
      <c r="L115" s="123" t="str">
        <f t="shared" ca="1" si="2"/>
        <v>-</v>
      </c>
      <c r="M115" s="331" t="str">
        <f ca="1">OFFSET(BD!$A22,0,MATCH(M$100,BD!$B$1:$P$1,0))</f>
        <v>-</v>
      </c>
      <c r="N115" s="294"/>
      <c r="O115" s="468" t="e">
        <f ca="1">'BD tratado'!D22</f>
        <v>#NAME?</v>
      </c>
      <c r="P115" s="294"/>
    </row>
    <row r="116" spans="1:16" ht="15.75" customHeight="1">
      <c r="A116" s="450" t="s">
        <v>81</v>
      </c>
      <c r="B116" s="317"/>
      <c r="C116" s="317"/>
      <c r="D116" s="469">
        <f ca="1">OFFSET(BD!$A23,0,MATCH(D$100,BD!$B$1:$P$1,0))</f>
        <v>39</v>
      </c>
      <c r="E116" s="317"/>
      <c r="F116" s="124" t="str">
        <f t="shared" ca="1" si="0"/>
        <v>-</v>
      </c>
      <c r="G116" s="469" t="str">
        <f ca="1">OFFSET(BD!$A23,0,MATCH(G$100,BD!$B$1:$P$1,0))</f>
        <v>-</v>
      </c>
      <c r="H116" s="317"/>
      <c r="I116" s="124" t="str">
        <f t="shared" ca="1" si="1"/>
        <v>-</v>
      </c>
      <c r="J116" s="332" t="str">
        <f ca="1">OFFSET(BD!$A23,0,MATCH(J$100,BD!$B$1:$P$1,0))</f>
        <v>-</v>
      </c>
      <c r="K116" s="317"/>
      <c r="L116" s="124" t="str">
        <f t="shared" ca="1" si="2"/>
        <v>-</v>
      </c>
      <c r="M116" s="332" t="str">
        <f ca="1">OFFSET(BD!$A23,0,MATCH(M$100,BD!$B$1:$P$1,0))</f>
        <v>-</v>
      </c>
      <c r="N116" s="317"/>
      <c r="O116" s="469" t="e">
        <f ca="1">'BD tratado'!D23</f>
        <v>#NAME?</v>
      </c>
      <c r="P116" s="317"/>
    </row>
    <row r="118" spans="1:16" ht="15.75" customHeight="1">
      <c r="A118" s="294"/>
      <c r="B118" s="294"/>
      <c r="C118" s="294"/>
      <c r="D118" s="294"/>
      <c r="E118" s="294"/>
      <c r="F118" s="294"/>
      <c r="G118" s="294"/>
      <c r="H118" s="294"/>
      <c r="I118" s="294"/>
      <c r="J118" s="294"/>
      <c r="K118" s="294"/>
      <c r="L118" s="294"/>
      <c r="M118" s="294"/>
      <c r="N118" s="294"/>
      <c r="O118" s="294"/>
      <c r="P118" s="294"/>
    </row>
    <row r="119" spans="1:16" ht="15.75" customHeight="1">
      <c r="A119" s="294"/>
      <c r="B119" s="294"/>
      <c r="C119" s="294"/>
      <c r="D119" s="294"/>
      <c r="E119" s="294"/>
      <c r="F119" s="294"/>
      <c r="G119" s="294"/>
      <c r="H119" s="294"/>
      <c r="I119" s="294"/>
      <c r="J119" s="294"/>
      <c r="K119" s="294"/>
      <c r="L119" s="294"/>
      <c r="M119" s="294"/>
      <c r="N119" s="294"/>
      <c r="O119" s="294"/>
      <c r="P119" s="294"/>
    </row>
    <row r="120" spans="1:16" ht="15.75" customHeight="1">
      <c r="A120" s="294"/>
      <c r="B120" s="294"/>
      <c r="C120" s="294"/>
      <c r="D120" s="294"/>
      <c r="E120" s="294"/>
      <c r="F120" s="294"/>
      <c r="G120" s="294"/>
      <c r="H120" s="294"/>
      <c r="I120" s="294"/>
      <c r="J120" s="294"/>
      <c r="K120" s="294"/>
      <c r="L120" s="294"/>
      <c r="M120" s="294"/>
      <c r="N120" s="294"/>
      <c r="O120" s="294"/>
      <c r="P120" s="294"/>
    </row>
    <row r="121" spans="1:16" ht="15.75" customHeight="1">
      <c r="A121" s="294"/>
      <c r="B121" s="294"/>
      <c r="C121" s="294"/>
      <c r="D121" s="294"/>
      <c r="E121" s="294"/>
      <c r="F121" s="294"/>
      <c r="G121" s="294"/>
      <c r="H121" s="294"/>
      <c r="I121" s="294"/>
      <c r="J121" s="294"/>
      <c r="K121" s="294"/>
      <c r="L121" s="294"/>
      <c r="M121" s="294"/>
      <c r="N121" s="294"/>
      <c r="O121" s="294"/>
      <c r="P121" s="294"/>
    </row>
    <row r="122" spans="1:16" ht="15.75" customHeight="1">
      <c r="A122" s="294"/>
      <c r="B122" s="294"/>
      <c r="C122" s="294"/>
      <c r="D122" s="294"/>
      <c r="E122" s="294"/>
      <c r="F122" s="294"/>
      <c r="G122" s="294"/>
      <c r="H122" s="294"/>
      <c r="I122" s="294"/>
      <c r="J122" s="294"/>
      <c r="K122" s="294"/>
      <c r="L122" s="294"/>
      <c r="M122" s="294"/>
      <c r="N122" s="294"/>
      <c r="O122" s="294"/>
      <c r="P122" s="294"/>
    </row>
    <row r="123" spans="1:16" ht="15.75" customHeight="1">
      <c r="A123" s="294"/>
      <c r="B123" s="294"/>
      <c r="C123" s="294"/>
      <c r="D123" s="294"/>
      <c r="E123" s="294"/>
      <c r="F123" s="294"/>
      <c r="G123" s="294"/>
      <c r="H123" s="294"/>
      <c r="I123" s="294"/>
      <c r="J123" s="294"/>
      <c r="K123" s="294"/>
      <c r="L123" s="294"/>
      <c r="M123" s="294"/>
      <c r="N123" s="294"/>
      <c r="O123" s="294"/>
      <c r="P123" s="294"/>
    </row>
    <row r="124" spans="1:16" ht="15.75" customHeight="1">
      <c r="A124" s="294"/>
      <c r="B124" s="294"/>
      <c r="C124" s="294"/>
      <c r="D124" s="294"/>
      <c r="E124" s="294"/>
      <c r="F124" s="294"/>
      <c r="G124" s="294"/>
      <c r="H124" s="294"/>
      <c r="I124" s="294"/>
      <c r="J124" s="294"/>
      <c r="K124" s="294"/>
      <c r="L124" s="294"/>
      <c r="M124" s="294"/>
      <c r="N124" s="294"/>
      <c r="O124" s="294"/>
      <c r="P124" s="294"/>
    </row>
    <row r="125" spans="1:16" ht="15.75" customHeight="1">
      <c r="A125" s="294"/>
      <c r="B125" s="294"/>
      <c r="C125" s="294"/>
      <c r="D125" s="294"/>
      <c r="E125" s="294"/>
      <c r="F125" s="294"/>
      <c r="G125" s="294"/>
      <c r="H125" s="294"/>
      <c r="I125" s="294"/>
      <c r="J125" s="294"/>
      <c r="K125" s="294"/>
      <c r="L125" s="294"/>
      <c r="M125" s="294"/>
      <c r="N125" s="294"/>
      <c r="O125" s="294"/>
      <c r="P125" s="294"/>
    </row>
    <row r="126" spans="1:16" ht="15.75" customHeight="1">
      <c r="A126" s="294"/>
      <c r="B126" s="294"/>
      <c r="C126" s="294"/>
      <c r="D126" s="294"/>
      <c r="E126" s="294"/>
      <c r="F126" s="294"/>
      <c r="G126" s="294"/>
      <c r="H126" s="294"/>
      <c r="I126" s="294"/>
      <c r="J126" s="294"/>
      <c r="K126" s="294"/>
      <c r="L126" s="294"/>
      <c r="M126" s="294"/>
      <c r="N126" s="294"/>
      <c r="O126" s="294"/>
      <c r="P126" s="294"/>
    </row>
    <row r="127" spans="1:16" ht="15.75" customHeight="1">
      <c r="A127" s="294"/>
      <c r="B127" s="294"/>
      <c r="C127" s="294"/>
      <c r="D127" s="294"/>
      <c r="E127" s="294"/>
      <c r="F127" s="294"/>
      <c r="G127" s="294"/>
      <c r="H127" s="294"/>
      <c r="I127" s="294"/>
      <c r="J127" s="294"/>
      <c r="K127" s="294"/>
      <c r="L127" s="294"/>
      <c r="M127" s="294"/>
      <c r="N127" s="294"/>
      <c r="O127" s="294"/>
      <c r="P127" s="294"/>
    </row>
    <row r="128" spans="1:16" ht="15.75" customHeight="1">
      <c r="A128" s="294"/>
      <c r="B128" s="294"/>
      <c r="C128" s="294"/>
      <c r="D128" s="294"/>
      <c r="E128" s="294"/>
      <c r="F128" s="294"/>
      <c r="G128" s="294"/>
      <c r="H128" s="294"/>
      <c r="I128" s="294"/>
      <c r="J128" s="294"/>
      <c r="K128" s="294"/>
      <c r="L128" s="294"/>
      <c r="M128" s="294"/>
      <c r="N128" s="294"/>
      <c r="O128" s="294"/>
      <c r="P128" s="294"/>
    </row>
    <row r="129" spans="1:16" ht="15.75" customHeight="1">
      <c r="A129" s="294"/>
      <c r="B129" s="294"/>
      <c r="C129" s="294"/>
      <c r="D129" s="294"/>
      <c r="E129" s="294"/>
      <c r="F129" s="294"/>
      <c r="G129" s="294"/>
      <c r="H129" s="294"/>
      <c r="I129" s="294"/>
      <c r="J129" s="294"/>
      <c r="K129" s="294"/>
      <c r="L129" s="294"/>
      <c r="M129" s="294"/>
      <c r="N129" s="294"/>
      <c r="O129" s="294"/>
      <c r="P129" s="294"/>
    </row>
    <row r="130" spans="1:16" ht="15.75" customHeight="1">
      <c r="A130" s="294"/>
      <c r="B130" s="294"/>
      <c r="C130" s="294"/>
      <c r="D130" s="294"/>
      <c r="E130" s="294"/>
      <c r="F130" s="294"/>
      <c r="G130" s="294"/>
      <c r="H130" s="294"/>
      <c r="I130" s="294"/>
      <c r="J130" s="294"/>
      <c r="K130" s="294"/>
      <c r="L130" s="294"/>
      <c r="M130" s="294"/>
      <c r="N130" s="294"/>
      <c r="O130" s="294"/>
      <c r="P130" s="294"/>
    </row>
    <row r="131" spans="1:16" ht="15.75" customHeight="1">
      <c r="A131" s="294"/>
      <c r="B131" s="294"/>
      <c r="C131" s="294"/>
      <c r="D131" s="294"/>
      <c r="E131" s="294"/>
      <c r="F131" s="294"/>
      <c r="G131" s="294"/>
      <c r="H131" s="294"/>
      <c r="I131" s="294"/>
      <c r="J131" s="294"/>
      <c r="K131" s="294"/>
      <c r="L131" s="294"/>
      <c r="M131" s="294"/>
      <c r="N131" s="294"/>
      <c r="O131" s="294"/>
      <c r="P131" s="294"/>
    </row>
    <row r="132" spans="1:16" ht="15.75" customHeight="1">
      <c r="A132" s="392" t="s">
        <v>359</v>
      </c>
      <c r="B132" s="294"/>
      <c r="C132" s="294"/>
      <c r="D132" s="294"/>
      <c r="E132" s="294"/>
      <c r="F132" s="294"/>
      <c r="G132" s="294"/>
      <c r="H132" s="294"/>
      <c r="I132" s="294"/>
      <c r="J132" s="294"/>
      <c r="K132" s="294"/>
      <c r="L132" s="294"/>
      <c r="M132" s="294"/>
      <c r="N132" s="294"/>
      <c r="O132" s="294"/>
      <c r="P132" s="294"/>
    </row>
    <row r="133" spans="1:16" ht="15.75" customHeight="1">
      <c r="A133" s="294"/>
      <c r="B133" s="294"/>
      <c r="C133" s="294"/>
      <c r="D133" s="294"/>
      <c r="E133" s="294"/>
      <c r="F133" s="294"/>
      <c r="G133" s="294"/>
      <c r="H133" s="294"/>
      <c r="I133" s="294"/>
      <c r="J133" s="294"/>
      <c r="K133" s="294"/>
      <c r="L133" s="294"/>
      <c r="M133" s="294"/>
      <c r="N133" s="294"/>
      <c r="O133" s="294"/>
      <c r="P133" s="294"/>
    </row>
    <row r="134" spans="1:16" ht="15.75" customHeight="1">
      <c r="A134" s="331"/>
      <c r="B134" s="294"/>
      <c r="C134" s="294"/>
      <c r="D134" s="294"/>
      <c r="E134" s="294"/>
      <c r="F134" s="294"/>
      <c r="G134" s="294"/>
      <c r="H134" s="294"/>
      <c r="I134" s="294"/>
      <c r="J134" s="294"/>
      <c r="K134" s="294"/>
      <c r="L134" s="294"/>
      <c r="M134" s="294"/>
      <c r="N134" s="294"/>
      <c r="O134" s="294"/>
      <c r="P134" s="294"/>
    </row>
    <row r="135" spans="1:16" ht="15.75" customHeight="1">
      <c r="A135" s="294"/>
      <c r="B135" s="294"/>
      <c r="C135" s="294"/>
      <c r="D135" s="294"/>
      <c r="E135" s="294"/>
      <c r="F135" s="294"/>
      <c r="G135" s="294"/>
      <c r="H135" s="294"/>
      <c r="I135" s="294"/>
      <c r="J135" s="294"/>
      <c r="K135" s="294"/>
      <c r="L135" s="294"/>
      <c r="M135" s="294"/>
      <c r="N135" s="294"/>
      <c r="O135" s="294"/>
      <c r="P135" s="294"/>
    </row>
    <row r="136" spans="1:16" ht="15.75" customHeight="1">
      <c r="A136" s="294"/>
      <c r="B136" s="294"/>
      <c r="C136" s="294"/>
      <c r="D136" s="294"/>
      <c r="E136" s="294"/>
      <c r="F136" s="294"/>
      <c r="G136" s="294"/>
      <c r="H136" s="294"/>
      <c r="I136" s="294"/>
      <c r="J136" s="294"/>
      <c r="K136" s="294"/>
      <c r="L136" s="294"/>
      <c r="M136" s="294"/>
      <c r="N136" s="294"/>
      <c r="O136" s="294"/>
      <c r="P136" s="294"/>
    </row>
    <row r="137" spans="1:16" ht="15.75" customHeight="1">
      <c r="A137" s="294"/>
      <c r="B137" s="294"/>
      <c r="C137" s="294"/>
      <c r="D137" s="294"/>
      <c r="E137" s="294"/>
      <c r="F137" s="294"/>
      <c r="G137" s="294"/>
      <c r="H137" s="294"/>
      <c r="I137" s="294"/>
      <c r="J137" s="294"/>
      <c r="K137" s="294"/>
      <c r="L137" s="294"/>
      <c r="M137" s="294"/>
      <c r="N137" s="294"/>
      <c r="O137" s="294"/>
      <c r="P137" s="294"/>
    </row>
    <row r="138" spans="1:16" ht="15.75" customHeight="1">
      <c r="A138" s="294"/>
      <c r="B138" s="294"/>
      <c r="C138" s="294"/>
      <c r="D138" s="294"/>
      <c r="E138" s="294"/>
      <c r="F138" s="294"/>
      <c r="G138" s="294"/>
      <c r="H138" s="294"/>
      <c r="I138" s="294"/>
      <c r="J138" s="294"/>
      <c r="K138" s="294"/>
      <c r="L138" s="294"/>
      <c r="M138" s="294"/>
      <c r="N138" s="294"/>
      <c r="O138" s="294"/>
      <c r="P138" s="294"/>
    </row>
    <row r="139" spans="1:16" ht="15.75" customHeight="1">
      <c r="A139" s="294"/>
      <c r="B139" s="294"/>
      <c r="C139" s="294"/>
      <c r="D139" s="294"/>
      <c r="E139" s="294"/>
      <c r="F139" s="294"/>
      <c r="G139" s="294"/>
      <c r="H139" s="294"/>
      <c r="I139" s="294"/>
      <c r="J139" s="294"/>
      <c r="K139" s="294"/>
      <c r="L139" s="294"/>
      <c r="M139" s="294"/>
      <c r="N139" s="294"/>
      <c r="O139" s="294"/>
      <c r="P139" s="294"/>
    </row>
    <row r="140" spans="1:16" ht="15.75" customHeight="1">
      <c r="A140" s="294"/>
      <c r="B140" s="294"/>
      <c r="C140" s="294"/>
      <c r="D140" s="294"/>
      <c r="E140" s="294"/>
      <c r="F140" s="294"/>
      <c r="G140" s="294"/>
      <c r="H140" s="294"/>
      <c r="I140" s="294"/>
      <c r="J140" s="294"/>
      <c r="K140" s="294"/>
      <c r="L140" s="294"/>
      <c r="M140" s="294"/>
      <c r="N140" s="294"/>
      <c r="O140" s="294"/>
      <c r="P140" s="294"/>
    </row>
    <row r="141" spans="1:16" ht="15.75" customHeight="1">
      <c r="A141" s="294"/>
      <c r="B141" s="294"/>
      <c r="C141" s="294"/>
      <c r="D141" s="294"/>
      <c r="E141" s="294"/>
      <c r="F141" s="294"/>
      <c r="G141" s="294"/>
      <c r="H141" s="294"/>
      <c r="I141" s="294"/>
      <c r="J141" s="294"/>
      <c r="K141" s="294"/>
      <c r="L141" s="294"/>
      <c r="M141" s="294"/>
      <c r="N141" s="294"/>
      <c r="O141" s="294"/>
      <c r="P141" s="294"/>
    </row>
    <row r="142" spans="1:16" ht="15.75" customHeight="1">
      <c r="A142" s="294"/>
      <c r="B142" s="294"/>
      <c r="C142" s="294"/>
      <c r="D142" s="294"/>
      <c r="E142" s="294"/>
      <c r="F142" s="294"/>
      <c r="G142" s="294"/>
      <c r="H142" s="294"/>
      <c r="I142" s="294"/>
      <c r="J142" s="294"/>
      <c r="K142" s="294"/>
      <c r="L142" s="294"/>
      <c r="M142" s="294"/>
      <c r="N142" s="294"/>
      <c r="O142" s="294"/>
      <c r="P142" s="294"/>
    </row>
    <row r="143" spans="1:16" ht="15.75" customHeight="1">
      <c r="A143" s="68"/>
      <c r="B143" s="68"/>
      <c r="C143" s="68"/>
      <c r="D143" s="68"/>
      <c r="E143" s="68"/>
      <c r="F143" s="68"/>
      <c r="G143" s="68"/>
      <c r="H143" s="68"/>
      <c r="I143" s="68"/>
      <c r="J143" s="68"/>
      <c r="K143" s="68"/>
      <c r="L143" s="68"/>
      <c r="M143" s="68"/>
      <c r="N143" s="68"/>
      <c r="O143" s="68"/>
      <c r="P143" s="68"/>
    </row>
    <row r="144" spans="1:16" ht="15.75" customHeight="1">
      <c r="A144" s="431" t="s">
        <v>360</v>
      </c>
      <c r="B144" s="319"/>
      <c r="C144" s="319"/>
      <c r="D144" s="431" t="str">
        <f>$D$100</f>
        <v>Av1</v>
      </c>
      <c r="E144" s="319"/>
      <c r="F144" s="432" t="s">
        <v>39</v>
      </c>
      <c r="G144" s="431" t="str">
        <f ca="1">$G$100</f>
        <v>Av13</v>
      </c>
      <c r="H144" s="319"/>
      <c r="I144" s="432" t="s">
        <v>39</v>
      </c>
      <c r="J144" s="431" t="str">
        <f ca="1">$J$100</f>
        <v>Av14</v>
      </c>
      <c r="K144" s="319"/>
      <c r="L144" s="432" t="s">
        <v>39</v>
      </c>
      <c r="M144" s="431" t="str">
        <f ca="1">$M$100</f>
        <v>Av15</v>
      </c>
      <c r="N144" s="319"/>
      <c r="O144" s="431" t="s">
        <v>356</v>
      </c>
      <c r="P144" s="319"/>
    </row>
    <row r="145" spans="1:16" ht="15.75" customHeight="1">
      <c r="A145" s="317"/>
      <c r="B145" s="317"/>
      <c r="C145" s="317"/>
      <c r="D145" s="365">
        <f ca="1">OFFSET(BD!$A$2,,MATCH(D144,BD!$B$1:$P$1,0))</f>
        <v>44517</v>
      </c>
      <c r="E145" s="317"/>
      <c r="F145" s="317"/>
      <c r="G145" s="365">
        <f ca="1">OFFSET(BD!$A$2,,MATCH(G144,BD!$B$1:$P$1,0))</f>
        <v>0</v>
      </c>
      <c r="H145" s="317"/>
      <c r="I145" s="317"/>
      <c r="J145" s="365">
        <f ca="1">OFFSET(BD!$A$2,,MATCH(J144,BD!$B$1:$P$1,0))</f>
        <v>0</v>
      </c>
      <c r="K145" s="317"/>
      <c r="L145" s="317"/>
      <c r="M145" s="365">
        <f ca="1">OFFSET(BD!$A$2,,MATCH(M144,BD!$B$1:$P$1,0))</f>
        <v>0</v>
      </c>
      <c r="N145" s="317"/>
      <c r="O145" s="317"/>
      <c r="P145" s="317"/>
    </row>
    <row r="146" spans="1:16" ht="15.75" customHeight="1">
      <c r="A146" s="447" t="s">
        <v>83</v>
      </c>
      <c r="B146" s="294"/>
      <c r="C146" s="294"/>
      <c r="D146" s="468">
        <f ca="1">OFFSET(BD!$A25,0,MATCH(D$144,BD!$B$1:$P$1,0))</f>
        <v>9.6</v>
      </c>
      <c r="E146" s="294"/>
      <c r="F146" s="123" t="str">
        <f t="shared" ref="F146:F154" ca="1" si="3">IF(OR(D146="-",G146="-"),"-",(G146-D146)*100/D146)</f>
        <v>-</v>
      </c>
      <c r="G146" s="468" t="str">
        <f ca="1">OFFSET(BD!$A25,0,MATCH(G$144,BD!$B$1:$P$1,0))</f>
        <v>-</v>
      </c>
      <c r="H146" s="294"/>
      <c r="I146" s="123" t="str">
        <f t="shared" ref="I146:I154" ca="1" si="4">IF(OR(G146="-",J146="-"),"-",(J146-G146)*100/G146)</f>
        <v>-</v>
      </c>
      <c r="J146" s="468" t="str">
        <f ca="1">OFFSET(BD!$A25,0,MATCH(J$144,BD!$B$1:$P$1,0))</f>
        <v>-</v>
      </c>
      <c r="K146" s="294"/>
      <c r="L146" s="123" t="str">
        <f t="shared" ref="L146:L154" ca="1" si="5">IF(OR(J146="-",M146="-"),"-",(M146-J146)*100/J146)</f>
        <v>-</v>
      </c>
      <c r="M146" s="468" t="str">
        <f ca="1">OFFSET(BD!$A25,0,MATCH(M$144,BD!$B$1:$P$1,0))</f>
        <v>-</v>
      </c>
      <c r="N146" s="294"/>
      <c r="O146" s="468" t="e">
        <f ca="1">'BD tratado'!D25</f>
        <v>#NAME?</v>
      </c>
      <c r="P146" s="294"/>
    </row>
    <row r="147" spans="1:16" ht="15.75" customHeight="1">
      <c r="A147" s="470" t="s">
        <v>84</v>
      </c>
      <c r="B147" s="294"/>
      <c r="C147" s="294"/>
      <c r="D147" s="468">
        <f ca="1">OFFSET(BD!$A26,0,MATCH(D$144,BD!$B$1:$P$1,0))</f>
        <v>29</v>
      </c>
      <c r="E147" s="294"/>
      <c r="F147" s="123" t="str">
        <f t="shared" ca="1" si="3"/>
        <v>-</v>
      </c>
      <c r="G147" s="468" t="str">
        <f ca="1">OFFSET(BD!$A26,0,MATCH(G$144,BD!$B$1:$P$1,0))</f>
        <v>-</v>
      </c>
      <c r="H147" s="294"/>
      <c r="I147" s="123" t="str">
        <f t="shared" ca="1" si="4"/>
        <v>-</v>
      </c>
      <c r="J147" s="468" t="str">
        <f ca="1">OFFSET(BD!$A26,0,MATCH(J$144,BD!$B$1:$P$1,0))</f>
        <v>-</v>
      </c>
      <c r="K147" s="294"/>
      <c r="L147" s="123" t="str">
        <f t="shared" ca="1" si="5"/>
        <v>-</v>
      </c>
      <c r="M147" s="468" t="str">
        <f ca="1">OFFSET(BD!$A26,0,MATCH(M$144,BD!$B$1:$P$1,0))</f>
        <v>-</v>
      </c>
      <c r="N147" s="294"/>
      <c r="O147" s="468" t="e">
        <f ca="1">'BD tratado'!D26</f>
        <v>#NAME?</v>
      </c>
      <c r="P147" s="294"/>
    </row>
    <row r="148" spans="1:16" ht="15.75" customHeight="1">
      <c r="A148" s="447" t="s">
        <v>85</v>
      </c>
      <c r="B148" s="294"/>
      <c r="C148" s="294"/>
      <c r="D148" s="468">
        <f ca="1">OFFSET(BD!$A27,0,MATCH(D$144,BD!$B$1:$P$1,0))</f>
        <v>11.4</v>
      </c>
      <c r="E148" s="294"/>
      <c r="F148" s="123" t="str">
        <f t="shared" ca="1" si="3"/>
        <v>-</v>
      </c>
      <c r="G148" s="468" t="str">
        <f ca="1">OFFSET(BD!$A27,0,MATCH(G$144,BD!$B$1:$P$1,0))</f>
        <v>-</v>
      </c>
      <c r="H148" s="294"/>
      <c r="I148" s="123" t="str">
        <f t="shared" ca="1" si="4"/>
        <v>-</v>
      </c>
      <c r="J148" s="468" t="str">
        <f ca="1">OFFSET(BD!$A27,0,MATCH(J$144,BD!$B$1:$P$1,0))</f>
        <v>-</v>
      </c>
      <c r="K148" s="294"/>
      <c r="L148" s="123" t="str">
        <f t="shared" ca="1" si="5"/>
        <v>-</v>
      </c>
      <c r="M148" s="468" t="str">
        <f ca="1">OFFSET(BD!$A27,0,MATCH(M$144,BD!$B$1:$P$1,0))</f>
        <v>-</v>
      </c>
      <c r="N148" s="294"/>
      <c r="O148" s="468" t="e">
        <f ca="1">'BD tratado'!D27</f>
        <v>#NAME?</v>
      </c>
      <c r="P148" s="294"/>
    </row>
    <row r="149" spans="1:16" ht="15.75" customHeight="1">
      <c r="A149" s="447" t="s">
        <v>86</v>
      </c>
      <c r="B149" s="294"/>
      <c r="C149" s="294"/>
      <c r="D149" s="468">
        <f ca="1">OFFSET(BD!$A28,0,MATCH(D$144,BD!$B$1:$P$1,0))</f>
        <v>32</v>
      </c>
      <c r="E149" s="294"/>
      <c r="F149" s="123" t="str">
        <f t="shared" ca="1" si="3"/>
        <v>-</v>
      </c>
      <c r="G149" s="468" t="str">
        <f ca="1">OFFSET(BD!$A28,0,MATCH(G$144,BD!$B$1:$P$1,0))</f>
        <v>-</v>
      </c>
      <c r="H149" s="294"/>
      <c r="I149" s="123" t="str">
        <f t="shared" ca="1" si="4"/>
        <v>-</v>
      </c>
      <c r="J149" s="468" t="str">
        <f ca="1">OFFSET(BD!$A28,0,MATCH(J$144,BD!$B$1:$P$1,0))</f>
        <v>-</v>
      </c>
      <c r="K149" s="294"/>
      <c r="L149" s="123" t="str">
        <f t="shared" ca="1" si="5"/>
        <v>-</v>
      </c>
      <c r="M149" s="468" t="str">
        <f ca="1">OFFSET(BD!$A28,0,MATCH(M$144,BD!$B$1:$P$1,0))</f>
        <v>-</v>
      </c>
      <c r="N149" s="294"/>
      <c r="O149" s="468" t="e">
        <f ca="1">'BD tratado'!D28</f>
        <v>#NAME?</v>
      </c>
      <c r="P149" s="294"/>
    </row>
    <row r="150" spans="1:16" ht="15.75" customHeight="1">
      <c r="A150" s="447" t="s">
        <v>87</v>
      </c>
      <c r="B150" s="294"/>
      <c r="C150" s="294"/>
      <c r="D150" s="468">
        <f ca="1">OFFSET(BD!$A29,0,MATCH(D$144,BD!$B$1:$P$1,0))</f>
        <v>7.7</v>
      </c>
      <c r="E150" s="294"/>
      <c r="F150" s="123" t="str">
        <f t="shared" ca="1" si="3"/>
        <v>-</v>
      </c>
      <c r="G150" s="468" t="str">
        <f ca="1">OFFSET(BD!$A29,0,MATCH(G$144,BD!$B$1:$P$1,0))</f>
        <v>-</v>
      </c>
      <c r="H150" s="294"/>
      <c r="I150" s="123" t="str">
        <f t="shared" ca="1" si="4"/>
        <v>-</v>
      </c>
      <c r="J150" s="468" t="str">
        <f ca="1">OFFSET(BD!$A29,0,MATCH(J$144,BD!$B$1:$P$1,0))</f>
        <v>-</v>
      </c>
      <c r="K150" s="294"/>
      <c r="L150" s="123" t="str">
        <f t="shared" ca="1" si="5"/>
        <v>-</v>
      </c>
      <c r="M150" s="468" t="str">
        <f ca="1">OFFSET(BD!$A29,0,MATCH(M$144,BD!$B$1:$P$1,0))</f>
        <v>-</v>
      </c>
      <c r="N150" s="294"/>
      <c r="O150" s="468" t="e">
        <f ca="1">'BD tratado'!D29</f>
        <v>#NAME?</v>
      </c>
      <c r="P150" s="294"/>
    </row>
    <row r="151" spans="1:16" ht="15.75" customHeight="1">
      <c r="A151" s="450" t="s">
        <v>361</v>
      </c>
      <c r="B151" s="317"/>
      <c r="C151" s="317"/>
      <c r="D151" s="469">
        <f ca="1">OFFSET(BD!$A30,0,MATCH(D$144,BD!$B$1:$P$1,0))</f>
        <v>89.7</v>
      </c>
      <c r="E151" s="317"/>
      <c r="F151" s="124" t="str">
        <f t="shared" ca="1" si="3"/>
        <v>-</v>
      </c>
      <c r="G151" s="469" t="str">
        <f ca="1">OFFSET(BD!$A30,0,MATCH(G$144,BD!$B$1:$P$1,0))</f>
        <v>-</v>
      </c>
      <c r="H151" s="317"/>
      <c r="I151" s="124" t="str">
        <f t="shared" ca="1" si="4"/>
        <v>-</v>
      </c>
      <c r="J151" s="469" t="str">
        <f ca="1">OFFSET(BD!$A30,0,MATCH(J$144,BD!$B$1:$P$1,0))</f>
        <v>-</v>
      </c>
      <c r="K151" s="317"/>
      <c r="L151" s="124" t="str">
        <f t="shared" ca="1" si="5"/>
        <v>-</v>
      </c>
      <c r="M151" s="469" t="str">
        <f ca="1">OFFSET(BD!$A30,0,MATCH(M$144,BD!$B$1:$P$1,0))</f>
        <v>-</v>
      </c>
      <c r="N151" s="317"/>
      <c r="O151" s="469" t="e">
        <f ca="1">'BD tratado'!D30</f>
        <v>#NAME?</v>
      </c>
      <c r="P151" s="317"/>
    </row>
    <row r="152" spans="1:16" ht="15.75" customHeight="1">
      <c r="A152" s="447" t="s">
        <v>89</v>
      </c>
      <c r="B152" s="294"/>
      <c r="C152" s="294"/>
      <c r="D152" s="468">
        <f ca="1">OFFSET(BD!$A31,0,MATCH(D$144,BD!$B$1:$P$1,0))</f>
        <v>18.869854774676131</v>
      </c>
      <c r="E152" s="294"/>
      <c r="F152" s="123" t="e">
        <f t="shared" ca="1" si="3"/>
        <v>#VALUE!</v>
      </c>
      <c r="G152" s="468" t="e">
        <f ca="1">OFFSET(BD!$A31,0,MATCH(G$144,BD!$B$1:$P$1,0))</f>
        <v>#VALUE!</v>
      </c>
      <c r="H152" s="294"/>
      <c r="I152" s="123" t="e">
        <f t="shared" ca="1" si="4"/>
        <v>#VALUE!</v>
      </c>
      <c r="J152" s="468" t="e">
        <f ca="1">OFFSET(BD!$A31,0,MATCH(J$144,BD!$B$1:$P$1,0))</f>
        <v>#VALUE!</v>
      </c>
      <c r="K152" s="294"/>
      <c r="L152" s="123" t="e">
        <f t="shared" ca="1" si="5"/>
        <v>#VALUE!</v>
      </c>
      <c r="M152" s="468" t="e">
        <f ca="1">OFFSET(BD!$A31,0,MATCH(M$144,BD!$B$1:$P$1,0))</f>
        <v>#VALUE!</v>
      </c>
      <c r="N152" s="294"/>
      <c r="O152" s="468" t="e">
        <f ca="1">'BD tratado'!D31</f>
        <v>#NAME?</v>
      </c>
      <c r="P152" s="294"/>
    </row>
    <row r="153" spans="1:16" ht="15.75" customHeight="1">
      <c r="A153" s="447" t="s">
        <v>362</v>
      </c>
      <c r="B153" s="294"/>
      <c r="C153" s="294"/>
      <c r="D153" s="468">
        <f ca="1">OFFSET(BD!$A8,0,MATCH(D$144,BD!$B$1:$P$1,0))</f>
        <v>75.7</v>
      </c>
      <c r="E153" s="294"/>
      <c r="F153" s="123" t="str">
        <f t="shared" ca="1" si="3"/>
        <v>-</v>
      </c>
      <c r="G153" s="468" t="str">
        <f ca="1">OFFSET(BD!$A8,0,MATCH(G$144,BD!$B$1:$P$1,0))</f>
        <v>-</v>
      </c>
      <c r="H153" s="294"/>
      <c r="I153" s="123" t="str">
        <f t="shared" ca="1" si="4"/>
        <v>-</v>
      </c>
      <c r="J153" s="468" t="str">
        <f ca="1">OFFSET(BD!$A8,0,MATCH(J$144,BD!$B$1:$P$1,0))</f>
        <v>-</v>
      </c>
      <c r="K153" s="294"/>
      <c r="L153" s="123" t="str">
        <f t="shared" ca="1" si="5"/>
        <v>-</v>
      </c>
      <c r="M153" s="468" t="str">
        <f ca="1">OFFSET(BD!$A8,0,MATCH(M$144,BD!$B$1:$P$1,0))</f>
        <v>-</v>
      </c>
      <c r="N153" s="294"/>
      <c r="O153" s="468" t="e">
        <f ca="1">'BD tratado'!D8</f>
        <v>#NAME?</v>
      </c>
      <c r="P153" s="294"/>
    </row>
    <row r="154" spans="1:16" ht="15.75" customHeight="1">
      <c r="A154" s="447" t="s">
        <v>363</v>
      </c>
      <c r="B154" s="294"/>
      <c r="C154" s="294"/>
      <c r="D154" s="468">
        <f ca="1">OFFSET(BD!$A32,0,MATCH(D$144,BD!$B$1:$P$1,0))</f>
        <v>14.284480064429831</v>
      </c>
      <c r="E154" s="294"/>
      <c r="F154" s="434" t="e">
        <f t="shared" ca="1" si="3"/>
        <v>#VALUE!</v>
      </c>
      <c r="G154" s="468" t="e">
        <f ca="1">OFFSET(BD!$A32,0,MATCH(G$144,BD!$B$1:$P$1,0))</f>
        <v>#VALUE!</v>
      </c>
      <c r="H154" s="294"/>
      <c r="I154" s="434" t="e">
        <f t="shared" ca="1" si="4"/>
        <v>#VALUE!</v>
      </c>
      <c r="J154" s="468" t="e">
        <f ca="1">OFFSET(BD!$A32,0,MATCH(J$144,BD!$B$1:$P$1,0))</f>
        <v>#VALUE!</v>
      </c>
      <c r="K154" s="294"/>
      <c r="L154" s="434" t="e">
        <f t="shared" ca="1" si="5"/>
        <v>#VALUE!</v>
      </c>
      <c r="M154" s="468" t="e">
        <f ca="1">OFFSET(BD!$A32,0,MATCH(M$144,BD!$B$1:$P$1,0))</f>
        <v>#VALUE!</v>
      </c>
      <c r="N154" s="294"/>
      <c r="O154" s="468" t="e">
        <f ca="1">'BD tratado'!D32</f>
        <v>#NAME?</v>
      </c>
      <c r="P154" s="294"/>
    </row>
    <row r="155" spans="1:16" ht="15.75" customHeight="1">
      <c r="A155" s="294"/>
      <c r="B155" s="294"/>
      <c r="C155" s="294"/>
      <c r="D155" s="294"/>
      <c r="E155" s="294"/>
      <c r="F155" s="294"/>
      <c r="G155" s="294"/>
      <c r="H155" s="294"/>
      <c r="I155" s="294"/>
      <c r="J155" s="294"/>
      <c r="K155" s="294"/>
      <c r="L155" s="294"/>
      <c r="M155" s="294"/>
      <c r="N155" s="294"/>
      <c r="O155" s="294"/>
      <c r="P155" s="294"/>
    </row>
    <row r="156" spans="1:16" ht="15.75" customHeight="1">
      <c r="A156" s="447" t="s">
        <v>364</v>
      </c>
      <c r="B156" s="294"/>
      <c r="C156" s="294"/>
      <c r="D156" s="468">
        <f ca="1">OFFSET(BD!$A33,0,MATCH(D$144,BD!$B$1:$P$1,0))</f>
        <v>61.415519935570174</v>
      </c>
      <c r="E156" s="294"/>
      <c r="F156" s="123" t="e">
        <f t="shared" ref="F156:F157" ca="1" si="6">IF(OR(D156="-",G156="-"),"-",(G156-D156)*100/D156)</f>
        <v>#VALUE!</v>
      </c>
      <c r="G156" s="468" t="e">
        <f ca="1">OFFSET(BD!$A33,0,MATCH(G$144,BD!$B$1:$P$1,0))</f>
        <v>#VALUE!</v>
      </c>
      <c r="H156" s="294"/>
      <c r="I156" s="123" t="e">
        <f t="shared" ref="I156:I157" ca="1" si="7">IF(OR(G156="-",J156="-"),"-",(J156-G156)*100/G156)</f>
        <v>#VALUE!</v>
      </c>
      <c r="J156" s="468" t="e">
        <f ca="1">OFFSET(BD!$A33,0,MATCH(J$144,BD!$B$1:$P$1,0))</f>
        <v>#VALUE!</v>
      </c>
      <c r="K156" s="294"/>
      <c r="L156" s="123" t="e">
        <f t="shared" ref="L156:L157" ca="1" si="8">IF(OR(J156="-",M156="-"),"-",(M156-J156)*100/J156)</f>
        <v>#VALUE!</v>
      </c>
      <c r="M156" s="468" t="e">
        <f ca="1">OFFSET(BD!$A33,0,MATCH(M$144,BD!$B$1:$P$1,0))</f>
        <v>#VALUE!</v>
      </c>
      <c r="N156" s="294"/>
      <c r="O156" s="468" t="e">
        <f ca="1">'BD tratado'!D33</f>
        <v>#NAME?</v>
      </c>
      <c r="P156" s="294"/>
    </row>
    <row r="157" spans="1:16" ht="15.75" customHeight="1">
      <c r="A157" s="447" t="s">
        <v>365</v>
      </c>
      <c r="B157" s="294"/>
      <c r="C157" s="294"/>
      <c r="D157" s="468">
        <f ca="1">OFFSET(BD!$A34,0,MATCH(D$144,BD!$B$1:$P$1,0))</f>
        <v>31.1</v>
      </c>
      <c r="E157" s="294"/>
      <c r="F157" s="434" t="str">
        <f t="shared" ca="1" si="6"/>
        <v>-</v>
      </c>
      <c r="G157" s="468" t="str">
        <f ca="1">OFFSET(BD!$A34,0,MATCH(G$144,BD!$B$1:$P$1,0))</f>
        <v>-</v>
      </c>
      <c r="H157" s="294"/>
      <c r="I157" s="434" t="str">
        <f t="shared" ca="1" si="7"/>
        <v>-</v>
      </c>
      <c r="J157" s="468" t="str">
        <f ca="1">OFFSET(BD!$A34,0,MATCH(J$144,BD!$B$1:$P$1,0))</f>
        <v>-</v>
      </c>
      <c r="K157" s="294"/>
      <c r="L157" s="434" t="str">
        <f t="shared" ca="1" si="8"/>
        <v>-</v>
      </c>
      <c r="M157" s="468" t="str">
        <f ca="1">OFFSET(BD!$A34,0,MATCH(M$144,BD!$B$1:$P$1,0))</f>
        <v>-</v>
      </c>
      <c r="N157" s="294"/>
      <c r="O157" s="468" t="e">
        <f ca="1">'BD tratado'!D34</f>
        <v>#NAME?</v>
      </c>
      <c r="P157" s="294"/>
    </row>
    <row r="158" spans="1:16" ht="15.75" customHeight="1">
      <c r="A158" s="294"/>
      <c r="B158" s="294"/>
      <c r="C158" s="294"/>
      <c r="D158" s="294"/>
      <c r="E158" s="294"/>
      <c r="F158" s="294"/>
      <c r="G158" s="294"/>
      <c r="H158" s="294"/>
      <c r="I158" s="294"/>
      <c r="J158" s="294"/>
      <c r="K158" s="294"/>
      <c r="L158" s="294"/>
      <c r="M158" s="294"/>
      <c r="N158" s="294"/>
      <c r="O158" s="294"/>
      <c r="P158" s="294"/>
    </row>
    <row r="159" spans="1:16" ht="15.75" customHeight="1">
      <c r="A159" s="433" t="s">
        <v>366</v>
      </c>
      <c r="B159" s="294"/>
      <c r="C159" s="294"/>
      <c r="D159" s="468">
        <f ca="1">OFFSET(BD!$A35,0,MATCH(D$144,BD!$B$1:$P$1,0))</f>
        <v>9</v>
      </c>
      <c r="E159" s="294"/>
      <c r="F159" s="434" t="str">
        <f ca="1">IF(OR(D159="-",G159="-"),"-",(G159-D159)*100/D159)</f>
        <v>-</v>
      </c>
      <c r="G159" s="468" t="str">
        <f ca="1">OFFSET(BD!$A35,0,MATCH(G$144,BD!$B$1:$P$1,0))</f>
        <v>-</v>
      </c>
      <c r="H159" s="294"/>
      <c r="I159" s="434" t="str">
        <f ca="1">IF(OR(G159="-",J159="-"),"-",(J159-G159)*100/G159)</f>
        <v>-</v>
      </c>
      <c r="J159" s="468" t="str">
        <f ca="1">OFFSET(BD!$A35,0,MATCH(J$144,BD!$B$1:$P$1,0))</f>
        <v>-</v>
      </c>
      <c r="K159" s="294"/>
      <c r="L159" s="434" t="str">
        <f ca="1">IF(OR(J159="-",M159="-"),"-",(M159-J159)*100/J159)</f>
        <v>-</v>
      </c>
      <c r="M159" s="468" t="str">
        <f ca="1">OFFSET(BD!$A35,0,MATCH(M$144,BD!$B$1:$P$1,0))</f>
        <v>-</v>
      </c>
      <c r="N159" s="294"/>
      <c r="O159" s="468" t="e">
        <f ca="1">'BD tratado'!D35</f>
        <v>#NAME?</v>
      </c>
      <c r="P159" s="294"/>
    </row>
    <row r="160" spans="1:16" ht="15.75" customHeight="1">
      <c r="A160" s="294"/>
      <c r="B160" s="294"/>
      <c r="C160" s="294"/>
      <c r="D160" s="294"/>
      <c r="E160" s="294"/>
      <c r="F160" s="294"/>
      <c r="G160" s="294"/>
      <c r="H160" s="294"/>
      <c r="I160" s="294"/>
      <c r="J160" s="294"/>
      <c r="K160" s="294"/>
      <c r="L160" s="294"/>
      <c r="M160" s="294"/>
      <c r="N160" s="294"/>
      <c r="O160" s="294"/>
      <c r="P160" s="294"/>
    </row>
    <row r="161" spans="1:16" ht="15.75" customHeight="1">
      <c r="A161" s="294"/>
      <c r="B161" s="294"/>
      <c r="C161" s="294"/>
      <c r="D161" s="294"/>
      <c r="E161" s="294"/>
      <c r="F161" s="294"/>
      <c r="G161" s="294"/>
      <c r="H161" s="294"/>
      <c r="I161" s="294"/>
      <c r="J161" s="294"/>
      <c r="K161" s="294"/>
      <c r="L161" s="294"/>
      <c r="M161" s="294"/>
      <c r="N161" s="294"/>
      <c r="O161" s="294"/>
      <c r="P161" s="294"/>
    </row>
    <row r="162" spans="1:16" ht="15.75" customHeight="1">
      <c r="A162" s="433" t="s">
        <v>367</v>
      </c>
      <c r="B162" s="294"/>
      <c r="C162" s="294"/>
      <c r="D162" s="468">
        <f ca="1">OFFSET(BD!$A39,0,MATCH(D$144,BD!$B$1:$P$1,0))</f>
        <v>57.943381553674563</v>
      </c>
      <c r="E162" s="294"/>
      <c r="F162" s="434" t="str">
        <f ca="1">IF(OR(D162="-",G162="-"),"-",(G162-D162)*100/D162)</f>
        <v>-</v>
      </c>
      <c r="G162" s="468" t="str">
        <f ca="1">OFFSET(BD!$A39,0,MATCH(G$144,BD!$B$1:$P$1,0))</f>
        <v>-</v>
      </c>
      <c r="H162" s="294"/>
      <c r="I162" s="434" t="str">
        <f ca="1">IF(OR(G162="-",J162="-"),"-",(J162-G162)*100/G162)</f>
        <v>-</v>
      </c>
      <c r="J162" s="331" t="str">
        <f ca="1">OFFSET(BD!$A39,0,MATCH(J$144,BD!$B$1:$P$1,0))</f>
        <v>-</v>
      </c>
      <c r="K162" s="294"/>
      <c r="L162" s="434" t="str">
        <f ca="1">IF(OR(J162="-",M162="-"),"-",(M162-J162)*100/J162)</f>
        <v>-</v>
      </c>
      <c r="M162" s="331" t="str">
        <f ca="1">OFFSET(BD!$A39,0,MATCH(M$144,BD!$B$1:$P$1,0))</f>
        <v>-</v>
      </c>
      <c r="N162" s="294"/>
      <c r="O162" s="468" t="e">
        <f ca="1">'BD tratado'!D39</f>
        <v>#NAME?</v>
      </c>
      <c r="P162" s="294"/>
    </row>
    <row r="163" spans="1:16" ht="15.75" customHeight="1">
      <c r="A163" s="294"/>
      <c r="B163" s="294"/>
      <c r="C163" s="294"/>
      <c r="D163" s="294"/>
      <c r="E163" s="294"/>
      <c r="F163" s="294"/>
      <c r="G163" s="294"/>
      <c r="H163" s="294"/>
      <c r="I163" s="294"/>
      <c r="J163" s="294"/>
      <c r="K163" s="294"/>
      <c r="L163" s="294"/>
      <c r="M163" s="294"/>
      <c r="N163" s="294"/>
      <c r="O163" s="294"/>
      <c r="P163" s="294"/>
    </row>
    <row r="164" spans="1:16" ht="15.75" customHeight="1">
      <c r="A164" s="294"/>
      <c r="B164" s="294"/>
      <c r="C164" s="294"/>
      <c r="D164" s="294"/>
      <c r="E164" s="294"/>
      <c r="F164" s="294"/>
      <c r="G164" s="294"/>
      <c r="H164" s="294"/>
      <c r="I164" s="294"/>
      <c r="J164" s="294"/>
      <c r="K164" s="294"/>
      <c r="L164" s="294"/>
      <c r="M164" s="294"/>
      <c r="N164" s="294"/>
      <c r="O164" s="294"/>
      <c r="P164" s="294"/>
    </row>
    <row r="165" spans="1:16" ht="15.75" customHeight="1">
      <c r="A165" s="450" t="s">
        <v>98</v>
      </c>
      <c r="B165" s="317"/>
      <c r="C165" s="317"/>
      <c r="D165" s="469">
        <f ca="1">OFFSET(BD!$A40,0,MATCH(D$144,BD!$B$1:$P$1,0))</f>
        <v>25.35177683470507</v>
      </c>
      <c r="E165" s="317"/>
      <c r="F165" s="124" t="str">
        <f ca="1">IF(OR(D165="-",G165="-"),"-",(G165-D165)*100/D165)</f>
        <v>-</v>
      </c>
      <c r="G165" s="469" t="str">
        <f ca="1">OFFSET(BD!$A40,0,MATCH(G$144,BD!$B$1:$P$1,0))</f>
        <v>-</v>
      </c>
      <c r="H165" s="317"/>
      <c r="I165" s="124" t="str">
        <f ca="1">IF(OR(G165="-",J165="-"),"-",(J165-G165)*100/G165)</f>
        <v>-</v>
      </c>
      <c r="J165" s="469" t="str">
        <f ca="1">OFFSET(BD!$A40,0,MATCH(J$144,BD!$B$1:$P$1,0))</f>
        <v>-</v>
      </c>
      <c r="K165" s="317"/>
      <c r="L165" s="124" t="str">
        <f ca="1">IF(OR(J165="-",M165="-"),"-",(M165-J165)*100/J165)</f>
        <v>-</v>
      </c>
      <c r="M165" s="469" t="str">
        <f ca="1">OFFSET(BD!$A40,0,MATCH(M$144,BD!$B$1:$P$1,0))</f>
        <v>-</v>
      </c>
      <c r="N165" s="317"/>
      <c r="O165" s="469" t="e">
        <f ca="1">'BD tratado'!D40</f>
        <v>#NAME?</v>
      </c>
      <c r="P165" s="317"/>
    </row>
    <row r="166" spans="1:16" ht="15.75" customHeight="1">
      <c r="D166" s="68"/>
      <c r="E166" s="68"/>
      <c r="F166" s="68"/>
      <c r="G166" s="68"/>
      <c r="H166" s="68"/>
      <c r="I166" s="68"/>
      <c r="J166" s="68"/>
      <c r="K166" s="68"/>
      <c r="L166" s="68"/>
      <c r="M166" s="68"/>
      <c r="N166" s="68"/>
      <c r="O166" s="68"/>
      <c r="P166" s="68"/>
    </row>
    <row r="167" spans="1:16" ht="15.75" customHeight="1">
      <c r="A167" s="331"/>
      <c r="B167" s="294"/>
      <c r="C167" s="294"/>
      <c r="D167" s="294"/>
      <c r="E167" s="294"/>
      <c r="F167" s="294"/>
      <c r="G167" s="294"/>
      <c r="H167" s="294"/>
      <c r="I167" s="294"/>
      <c r="J167" s="294"/>
      <c r="K167" s="294"/>
      <c r="L167" s="294"/>
      <c r="M167" s="294"/>
      <c r="N167" s="294"/>
      <c r="O167" s="294"/>
      <c r="P167" s="294"/>
    </row>
    <row r="168" spans="1:16" ht="15.75" customHeight="1">
      <c r="A168" s="294"/>
      <c r="B168" s="294"/>
      <c r="C168" s="294"/>
      <c r="D168" s="294"/>
      <c r="E168" s="294"/>
      <c r="F168" s="294"/>
      <c r="G168" s="294"/>
      <c r="H168" s="294"/>
      <c r="I168" s="294"/>
      <c r="J168" s="294"/>
      <c r="K168" s="294"/>
      <c r="L168" s="294"/>
      <c r="M168" s="294"/>
      <c r="N168" s="294"/>
      <c r="O168" s="294"/>
      <c r="P168" s="294"/>
    </row>
    <row r="169" spans="1:16" ht="15.75" customHeight="1">
      <c r="A169" s="294"/>
      <c r="B169" s="294"/>
      <c r="C169" s="294"/>
      <c r="D169" s="294"/>
      <c r="E169" s="294"/>
      <c r="F169" s="294"/>
      <c r="G169" s="294"/>
      <c r="H169" s="294"/>
      <c r="I169" s="294"/>
      <c r="J169" s="294"/>
      <c r="K169" s="294"/>
      <c r="L169" s="294"/>
      <c r="M169" s="294"/>
      <c r="N169" s="294"/>
      <c r="O169" s="294"/>
      <c r="P169" s="294"/>
    </row>
    <row r="170" spans="1:16" ht="15.75" customHeight="1">
      <c r="A170" s="294"/>
      <c r="B170" s="294"/>
      <c r="C170" s="294"/>
      <c r="D170" s="294"/>
      <c r="E170" s="294"/>
      <c r="F170" s="294"/>
      <c r="G170" s="294"/>
      <c r="H170" s="294"/>
      <c r="I170" s="294"/>
      <c r="J170" s="294"/>
      <c r="K170" s="294"/>
      <c r="L170" s="294"/>
      <c r="M170" s="294"/>
      <c r="N170" s="294"/>
      <c r="O170" s="294"/>
      <c r="P170" s="294"/>
    </row>
    <row r="171" spans="1:16" ht="15.75" customHeight="1">
      <c r="A171" s="294"/>
      <c r="B171" s="294"/>
      <c r="C171" s="294"/>
      <c r="D171" s="294"/>
      <c r="E171" s="294"/>
      <c r="F171" s="294"/>
      <c r="G171" s="294"/>
      <c r="H171" s="294"/>
      <c r="I171" s="294"/>
      <c r="J171" s="294"/>
      <c r="K171" s="294"/>
      <c r="L171" s="294"/>
      <c r="M171" s="294"/>
      <c r="N171" s="294"/>
      <c r="O171" s="294"/>
      <c r="P171" s="294"/>
    </row>
    <row r="172" spans="1:16" ht="15.75" customHeight="1">
      <c r="A172" s="294"/>
      <c r="B172" s="294"/>
      <c r="C172" s="294"/>
      <c r="D172" s="294"/>
      <c r="E172" s="294"/>
      <c r="F172" s="294"/>
      <c r="G172" s="294"/>
      <c r="H172" s="294"/>
      <c r="I172" s="294"/>
      <c r="J172" s="294"/>
      <c r="K172" s="294"/>
      <c r="L172" s="294"/>
      <c r="M172" s="294"/>
      <c r="N172" s="294"/>
      <c r="O172" s="294"/>
      <c r="P172" s="294"/>
    </row>
    <row r="173" spans="1:16" ht="15.75" customHeight="1">
      <c r="A173" s="294"/>
      <c r="B173" s="294"/>
      <c r="C173" s="294"/>
      <c r="D173" s="294"/>
      <c r="E173" s="294"/>
      <c r="F173" s="294"/>
      <c r="G173" s="294"/>
      <c r="H173" s="294"/>
      <c r="I173" s="294"/>
      <c r="J173" s="294"/>
      <c r="K173" s="294"/>
      <c r="L173" s="294"/>
      <c r="M173" s="294"/>
      <c r="N173" s="294"/>
      <c r="O173" s="294"/>
      <c r="P173" s="294"/>
    </row>
    <row r="174" spans="1:16" ht="15.75" customHeight="1">
      <c r="A174" s="294"/>
      <c r="B174" s="294"/>
      <c r="C174" s="294"/>
      <c r="D174" s="294"/>
      <c r="E174" s="294"/>
      <c r="F174" s="294"/>
      <c r="G174" s="294"/>
      <c r="H174" s="294"/>
      <c r="I174" s="294"/>
      <c r="J174" s="294"/>
      <c r="K174" s="294"/>
      <c r="L174" s="294"/>
      <c r="M174" s="294"/>
      <c r="N174" s="294"/>
      <c r="O174" s="294"/>
      <c r="P174" s="294"/>
    </row>
    <row r="175" spans="1:16" ht="15.75" customHeight="1">
      <c r="A175" s="392" t="s">
        <v>368</v>
      </c>
      <c r="B175" s="294"/>
      <c r="C175" s="294"/>
      <c r="D175" s="294"/>
      <c r="E175" s="294"/>
      <c r="F175" s="294"/>
      <c r="G175" s="294"/>
      <c r="H175" s="294"/>
      <c r="I175" s="294"/>
      <c r="J175" s="294"/>
      <c r="K175" s="294"/>
      <c r="L175" s="294"/>
      <c r="M175" s="294"/>
      <c r="N175" s="294"/>
      <c r="O175" s="294"/>
      <c r="P175" s="294"/>
    </row>
    <row r="176" spans="1:16" ht="15.75" customHeight="1">
      <c r="A176" s="294"/>
      <c r="B176" s="294"/>
      <c r="C176" s="294"/>
      <c r="D176" s="294"/>
      <c r="E176" s="294"/>
      <c r="F176" s="294"/>
      <c r="G176" s="294"/>
      <c r="H176" s="294"/>
      <c r="I176" s="294"/>
      <c r="J176" s="294"/>
      <c r="K176" s="294"/>
      <c r="L176" s="294"/>
      <c r="M176" s="294"/>
      <c r="N176" s="294"/>
      <c r="O176" s="294"/>
      <c r="P176" s="294"/>
    </row>
    <row r="177" spans="1:16" ht="15.75" customHeight="1">
      <c r="A177" s="471" t="str">
        <f>'Meta calórica'!A4</f>
        <v>Av10</v>
      </c>
      <c r="B177" s="319"/>
      <c r="C177" s="319"/>
      <c r="D177" s="319"/>
      <c r="E177" s="125"/>
      <c r="F177" s="350" t="s">
        <v>212</v>
      </c>
      <c r="G177" s="319"/>
      <c r="H177" s="125"/>
      <c r="I177" s="350" t="s">
        <v>213</v>
      </c>
      <c r="J177" s="319"/>
      <c r="K177" s="319"/>
      <c r="L177" s="319"/>
      <c r="M177" s="319"/>
      <c r="N177" s="125"/>
      <c r="O177" s="350" t="s">
        <v>39</v>
      </c>
      <c r="P177" s="319"/>
    </row>
    <row r="178" spans="1:16" ht="15.75" customHeight="1">
      <c r="A178" s="474">
        <f ca="1">'Meta calórica'!A5</f>
        <v>45938</v>
      </c>
      <c r="B178" s="317"/>
      <c r="C178" s="317"/>
      <c r="D178" s="317"/>
      <c r="E178" s="126"/>
      <c r="F178" s="317"/>
      <c r="G178" s="317"/>
      <c r="H178" s="126"/>
      <c r="I178" s="357" t="s">
        <v>214</v>
      </c>
      <c r="J178" s="317"/>
      <c r="K178" s="126"/>
      <c r="L178" s="357" t="s">
        <v>215</v>
      </c>
      <c r="M178" s="317"/>
      <c r="N178" s="126"/>
      <c r="O178" s="317"/>
      <c r="P178" s="317"/>
    </row>
    <row r="179" spans="1:16" ht="15.75" customHeight="1">
      <c r="A179" s="339" t="s">
        <v>89</v>
      </c>
      <c r="B179" s="294"/>
      <c r="C179" s="294"/>
      <c r="D179" s="294"/>
      <c r="F179" s="315">
        <f ca="1">'Meta calórica'!F6</f>
        <v>6.8975808806644778</v>
      </c>
      <c r="G179" s="294"/>
      <c r="H179" s="42"/>
      <c r="I179" s="315">
        <f>'Meta calórica'!I6</f>
        <v>7</v>
      </c>
      <c r="J179" s="294"/>
      <c r="K179" s="74"/>
      <c r="L179" s="315">
        <f>'Meta calórica'!L6</f>
        <v>8</v>
      </c>
      <c r="M179" s="294"/>
      <c r="N179" s="42"/>
      <c r="O179" s="315">
        <f ca="1">'Meta calórica'!O6</f>
        <v>8.7337739094041353</v>
      </c>
      <c r="P179" s="294"/>
    </row>
    <row r="180" spans="1:16" ht="15.75" customHeight="1">
      <c r="A180" s="339" t="s">
        <v>369</v>
      </c>
      <c r="B180" s="294"/>
      <c r="C180" s="294"/>
      <c r="D180" s="294"/>
      <c r="F180" s="315">
        <f ca="1">'Meta calórica'!F7</f>
        <v>4.7317404841358313</v>
      </c>
      <c r="G180" s="294"/>
      <c r="H180" s="42"/>
      <c r="I180" s="315">
        <f>'Meta calórica'!I7</f>
        <v>4.7795698924731189</v>
      </c>
      <c r="J180" s="294"/>
      <c r="K180" s="74"/>
      <c r="L180" s="315">
        <f>'Meta calórica'!L7</f>
        <v>5.4623655913978499</v>
      </c>
      <c r="M180" s="294"/>
      <c r="N180" s="42"/>
      <c r="O180" s="315">
        <f ca="1">'Meta calórica'!O7</f>
        <v>8.2258792320631304</v>
      </c>
      <c r="P180" s="294"/>
    </row>
    <row r="181" spans="1:16" ht="15.75" customHeight="1">
      <c r="A181" s="339" t="s">
        <v>370</v>
      </c>
      <c r="B181" s="294"/>
      <c r="C181" s="294"/>
      <c r="D181" s="294"/>
      <c r="F181" s="315">
        <f ca="1">'Meta calórica'!F8</f>
        <v>63.86825951586416</v>
      </c>
      <c r="G181" s="294"/>
      <c r="H181" s="42"/>
      <c r="I181" s="315">
        <f>'Meta calórica'!I8</f>
        <v>63.5</v>
      </c>
      <c r="J181" s="294"/>
      <c r="K181" s="74"/>
      <c r="L181" s="315">
        <f>'Meta calórica'!L8</f>
        <v>64.5</v>
      </c>
      <c r="M181" s="294"/>
      <c r="N181" s="42"/>
      <c r="O181" s="315">
        <f ca="1">'Meta calórica'!O8</f>
        <v>0.20626910007327934</v>
      </c>
      <c r="P181" s="294"/>
    </row>
    <row r="182" spans="1:16" ht="15.75" customHeight="1">
      <c r="A182" s="339" t="s">
        <v>371</v>
      </c>
      <c r="B182" s="294"/>
      <c r="C182" s="294"/>
      <c r="D182" s="294"/>
      <c r="F182" s="315">
        <f ca="1">'Meta calórica'!F9</f>
        <v>8</v>
      </c>
      <c r="G182" s="294"/>
      <c r="H182" s="42"/>
      <c r="I182" s="315">
        <f>'Meta calórica'!I9</f>
        <v>7</v>
      </c>
      <c r="J182" s="294"/>
      <c r="K182" s="74"/>
      <c r="L182" s="315">
        <f>'Meta calórica'!L9</f>
        <v>8</v>
      </c>
      <c r="M182" s="294"/>
      <c r="N182" s="42"/>
      <c r="O182" s="315">
        <f ca="1">'Meta calórica'!O9</f>
        <v>-6.25</v>
      </c>
      <c r="P182" s="294"/>
    </row>
    <row r="183" spans="1:16" ht="15.75" customHeight="1">
      <c r="A183" s="294"/>
      <c r="B183" s="294"/>
      <c r="C183" s="294"/>
      <c r="D183" s="294"/>
      <c r="F183" s="294"/>
      <c r="G183" s="294"/>
      <c r="H183" s="42"/>
      <c r="I183" s="294"/>
      <c r="J183" s="294"/>
      <c r="K183" s="74"/>
      <c r="L183" s="294"/>
      <c r="M183" s="294"/>
      <c r="N183" s="41"/>
      <c r="O183" s="294"/>
      <c r="P183" s="294"/>
    </row>
    <row r="184" spans="1:16" ht="15.75" customHeight="1">
      <c r="A184" s="294"/>
      <c r="B184" s="294"/>
      <c r="C184" s="294"/>
      <c r="D184" s="294"/>
      <c r="F184" s="294"/>
      <c r="G184" s="294"/>
      <c r="H184" s="41"/>
      <c r="I184" s="294"/>
      <c r="J184" s="294"/>
      <c r="K184" s="76"/>
      <c r="L184" s="294"/>
      <c r="M184" s="294"/>
      <c r="N184" s="41"/>
      <c r="O184" s="294"/>
      <c r="P184" s="294"/>
    </row>
    <row r="185" spans="1:16" ht="15.75" customHeight="1">
      <c r="A185" s="339" t="s">
        <v>372</v>
      </c>
      <c r="B185" s="294"/>
      <c r="C185" s="294"/>
      <c r="D185" s="294"/>
      <c r="F185" s="367">
        <f ca="1">'Meta calórica'!F10</f>
        <v>68.599999999999994</v>
      </c>
      <c r="G185" s="294"/>
      <c r="H185" s="41"/>
      <c r="I185" s="367">
        <f>'Meta calórica'!I10</f>
        <v>68.27956989247312</v>
      </c>
      <c r="J185" s="294"/>
      <c r="K185" s="41"/>
      <c r="L185" s="367">
        <f>'Meta calórica'!L10</f>
        <v>70.108695652173907</v>
      </c>
      <c r="M185" s="294"/>
      <c r="N185" s="41"/>
      <c r="O185" s="367">
        <f ca="1">'Meta calórica'!O10</f>
        <v>0.86608275848909488</v>
      </c>
      <c r="P185" s="294"/>
    </row>
    <row r="186" spans="1:16" ht="15.75" customHeight="1">
      <c r="A186" s="339" t="s">
        <v>373</v>
      </c>
      <c r="B186" s="294"/>
      <c r="C186" s="294"/>
      <c r="D186" s="294"/>
      <c r="F186" s="307"/>
      <c r="G186" s="294"/>
      <c r="I186" s="367">
        <f>'Meta calórica'!I11</f>
        <v>70.555555555555557</v>
      </c>
      <c r="J186" s="294"/>
      <c r="K186" s="76"/>
      <c r="L186" s="367">
        <f>'Meta calórica'!L11</f>
        <v>81.410256410256409</v>
      </c>
      <c r="M186" s="294"/>
      <c r="O186" s="307"/>
      <c r="P186" s="294"/>
    </row>
    <row r="187" spans="1:16" ht="15.75" customHeight="1">
      <c r="A187" s="317"/>
      <c r="B187" s="317"/>
      <c r="C187" s="317"/>
      <c r="D187" s="317"/>
      <c r="E187" s="54"/>
      <c r="F187" s="317"/>
      <c r="G187" s="317"/>
      <c r="H187" s="54"/>
      <c r="I187" s="317"/>
      <c r="J187" s="317"/>
      <c r="K187" s="57"/>
      <c r="L187" s="317"/>
      <c r="M187" s="317"/>
      <c r="N187" s="54"/>
      <c r="O187" s="317"/>
      <c r="P187" s="317"/>
    </row>
    <row r="189" spans="1:16" ht="15.75" customHeight="1">
      <c r="A189" s="307"/>
      <c r="B189" s="294"/>
      <c r="C189" s="294"/>
      <c r="D189" s="294"/>
      <c r="E189" s="294"/>
      <c r="F189" s="294"/>
      <c r="G189" s="294"/>
      <c r="H189" s="294"/>
      <c r="J189" s="374" t="s">
        <v>221</v>
      </c>
      <c r="K189" s="294"/>
      <c r="L189" s="294"/>
      <c r="M189" s="294"/>
      <c r="N189" s="294"/>
      <c r="O189" s="294"/>
      <c r="P189" s="294"/>
    </row>
    <row r="190" spans="1:16" ht="15.75" customHeight="1">
      <c r="A190" s="294"/>
      <c r="B190" s="294"/>
      <c r="C190" s="294"/>
      <c r="D190" s="294"/>
      <c r="E190" s="294"/>
      <c r="F190" s="294"/>
      <c r="G190" s="294"/>
      <c r="H190" s="294"/>
      <c r="J190" s="294"/>
      <c r="K190" s="294"/>
      <c r="L190" s="294"/>
      <c r="M190" s="294"/>
      <c r="N190" s="294"/>
      <c r="O190" s="294"/>
      <c r="P190" s="294"/>
    </row>
    <row r="191" spans="1:16" ht="15.75" customHeight="1">
      <c r="A191" s="294"/>
      <c r="B191" s="294"/>
      <c r="C191" s="294"/>
      <c r="D191" s="294"/>
      <c r="E191" s="294"/>
      <c r="F191" s="294"/>
      <c r="G191" s="294"/>
      <c r="H191" s="294"/>
      <c r="J191" s="375" t="str">
        <f ca="1">'Meta calórica'!J15</f>
        <v>● Manutenção da massa magra entre -0,4 e 0,6 kg (~0,2%▲)</v>
      </c>
      <c r="K191" s="294"/>
      <c r="L191" s="294"/>
      <c r="M191" s="294"/>
      <c r="N191" s="294"/>
      <c r="O191" s="294"/>
      <c r="P191" s="294"/>
    </row>
    <row r="192" spans="1:16" ht="15.75" customHeight="1">
      <c r="A192" s="294"/>
      <c r="B192" s="294"/>
      <c r="C192" s="294"/>
      <c r="D192" s="294"/>
      <c r="E192" s="294"/>
      <c r="F192" s="294"/>
      <c r="G192" s="294"/>
      <c r="H192" s="294"/>
      <c r="J192" s="294"/>
      <c r="K192" s="294"/>
      <c r="L192" s="294"/>
      <c r="M192" s="294"/>
      <c r="N192" s="294"/>
      <c r="O192" s="294"/>
      <c r="P192" s="294"/>
    </row>
    <row r="193" spans="1:16" ht="15.75" customHeight="1">
      <c r="A193" s="294"/>
      <c r="B193" s="294"/>
      <c r="C193" s="294"/>
      <c r="D193" s="294"/>
      <c r="E193" s="294"/>
      <c r="F193" s="294"/>
      <c r="G193" s="294"/>
      <c r="H193" s="294"/>
      <c r="J193" s="375" t="str">
        <f ca="1">'Meta calórica'!J17</f>
        <v>● Manter a gordura absoluta entre 0,7 e 0 kg (~8,2%▲)</v>
      </c>
      <c r="K193" s="294"/>
      <c r="L193" s="294"/>
      <c r="M193" s="294"/>
      <c r="N193" s="294"/>
      <c r="O193" s="294"/>
      <c r="P193" s="294"/>
    </row>
    <row r="194" spans="1:16" ht="15.75" customHeight="1">
      <c r="A194" s="294"/>
      <c r="B194" s="294"/>
      <c r="C194" s="294"/>
      <c r="D194" s="294"/>
      <c r="E194" s="294"/>
      <c r="F194" s="294"/>
      <c r="G194" s="294"/>
      <c r="H194" s="294"/>
      <c r="J194" s="294"/>
      <c r="K194" s="294"/>
      <c r="L194" s="294"/>
      <c r="M194" s="294"/>
      <c r="N194" s="294"/>
      <c r="O194" s="294"/>
      <c r="P194" s="294"/>
    </row>
    <row r="195" spans="1:16" ht="15.75" customHeight="1">
      <c r="A195" s="294"/>
      <c r="B195" s="294"/>
      <c r="C195" s="294"/>
      <c r="D195" s="294"/>
      <c r="E195" s="294"/>
      <c r="F195" s="294"/>
      <c r="G195" s="294"/>
      <c r="H195" s="294"/>
      <c r="J195" s="375" t="str">
        <f ca="1">'Meta calórica'!J19</f>
        <v xml:space="preserve">    Dessa forma, seu percentual de gordura atingirá entre 7 e 8% (~8,7%▲)</v>
      </c>
      <c r="K195" s="294"/>
      <c r="L195" s="294"/>
      <c r="M195" s="294"/>
      <c r="N195" s="294"/>
      <c r="O195" s="294"/>
      <c r="P195" s="294"/>
    </row>
    <row r="196" spans="1:16" ht="15.75" customHeight="1">
      <c r="A196" s="294"/>
      <c r="B196" s="294"/>
      <c r="C196" s="294"/>
      <c r="D196" s="294"/>
      <c r="E196" s="294"/>
      <c r="F196" s="294"/>
      <c r="G196" s="294"/>
      <c r="H196" s="294"/>
      <c r="J196" s="294"/>
      <c r="K196" s="294"/>
      <c r="L196" s="294"/>
      <c r="M196" s="294"/>
      <c r="N196" s="294"/>
      <c r="O196" s="294"/>
      <c r="P196" s="294"/>
    </row>
    <row r="197" spans="1:16" ht="15.75" customHeight="1">
      <c r="A197" s="294"/>
      <c r="B197" s="294"/>
      <c r="C197" s="294"/>
      <c r="D197" s="294"/>
      <c r="E197" s="294"/>
      <c r="F197" s="294"/>
      <c r="G197" s="294"/>
      <c r="H197" s="294"/>
      <c r="J197" s="58"/>
      <c r="K197" s="58"/>
      <c r="L197" s="58"/>
      <c r="M197" s="58"/>
      <c r="N197" s="58"/>
      <c r="O197" s="58"/>
      <c r="P197" s="58"/>
    </row>
    <row r="198" spans="1:16" ht="15.75" customHeight="1">
      <c r="A198" s="294"/>
      <c r="B198" s="294"/>
      <c r="C198" s="294"/>
      <c r="D198" s="294"/>
      <c r="E198" s="294"/>
      <c r="F198" s="294"/>
      <c r="G198" s="294"/>
      <c r="H198" s="294"/>
      <c r="J198" s="58"/>
      <c r="K198" s="58"/>
      <c r="L198" s="58"/>
      <c r="M198" s="58"/>
      <c r="N198" s="58"/>
      <c r="O198" s="58"/>
      <c r="P198" s="58"/>
    </row>
    <row r="199" spans="1:16" ht="15.75" customHeight="1">
      <c r="A199" s="294"/>
      <c r="B199" s="294"/>
      <c r="C199" s="294"/>
      <c r="D199" s="294"/>
      <c r="E199" s="294"/>
      <c r="F199" s="294"/>
      <c r="G199" s="294"/>
      <c r="H199" s="294"/>
      <c r="J199" s="58"/>
      <c r="K199" s="58"/>
      <c r="L199" s="58"/>
      <c r="M199" s="58"/>
      <c r="N199" s="58"/>
      <c r="O199" s="58"/>
      <c r="P199" s="58"/>
    </row>
    <row r="200" spans="1:16" ht="15.75" customHeight="1">
      <c r="A200" s="294"/>
      <c r="B200" s="294"/>
      <c r="C200" s="294"/>
      <c r="D200" s="294"/>
      <c r="E200" s="294"/>
      <c r="F200" s="294"/>
      <c r="G200" s="294"/>
      <c r="H200" s="294"/>
      <c r="J200" s="58"/>
      <c r="K200" s="58"/>
      <c r="L200" s="58"/>
      <c r="M200" s="58"/>
      <c r="N200" s="58"/>
      <c r="O200" s="58"/>
      <c r="P200" s="58"/>
    </row>
    <row r="201" spans="1:16" ht="15.75" customHeight="1">
      <c r="A201" s="294"/>
      <c r="B201" s="294"/>
      <c r="C201" s="294"/>
      <c r="D201" s="294"/>
      <c r="E201" s="294"/>
      <c r="F201" s="294"/>
      <c r="G201" s="294"/>
      <c r="H201" s="294"/>
      <c r="J201" s="58"/>
      <c r="K201" s="58"/>
      <c r="L201" s="58"/>
      <c r="M201" s="58"/>
      <c r="N201" s="58"/>
      <c r="O201" s="58"/>
      <c r="P201" s="58"/>
    </row>
    <row r="202" spans="1:16" ht="15.75" customHeight="1">
      <c r="A202" s="317"/>
      <c r="B202" s="317"/>
      <c r="C202" s="317"/>
      <c r="D202" s="317"/>
      <c r="E202" s="317"/>
      <c r="F202" s="317"/>
      <c r="G202" s="317"/>
      <c r="H202" s="317"/>
      <c r="I202" s="126"/>
      <c r="J202" s="127"/>
      <c r="K202" s="127"/>
      <c r="L202" s="127"/>
      <c r="M202" s="127"/>
      <c r="N202" s="127"/>
      <c r="O202" s="127"/>
      <c r="P202" s="127"/>
    </row>
    <row r="203" spans="1:16" ht="15.75" customHeight="1">
      <c r="A203" s="331"/>
      <c r="B203" s="294"/>
      <c r="C203" s="294"/>
      <c r="D203" s="294"/>
      <c r="E203" s="294"/>
      <c r="F203" s="294"/>
      <c r="G203" s="294"/>
      <c r="H203" s="294"/>
      <c r="I203" s="294"/>
      <c r="J203" s="294"/>
      <c r="K203" s="294"/>
      <c r="L203" s="294"/>
      <c r="M203" s="294"/>
      <c r="N203" s="294"/>
      <c r="O203" s="294"/>
      <c r="P203" s="294"/>
    </row>
    <row r="204" spans="1:16" ht="15.75" customHeight="1">
      <c r="A204" s="294"/>
      <c r="B204" s="294"/>
      <c r="C204" s="294"/>
      <c r="D204" s="294"/>
      <c r="E204" s="294"/>
      <c r="F204" s="294"/>
      <c r="G204" s="294"/>
      <c r="H204" s="294"/>
      <c r="I204" s="294"/>
      <c r="J204" s="294"/>
      <c r="K204" s="294"/>
      <c r="L204" s="294"/>
      <c r="M204" s="294"/>
      <c r="N204" s="294"/>
      <c r="O204" s="294"/>
      <c r="P204" s="294"/>
    </row>
    <row r="205" spans="1:16" ht="15.75" customHeight="1">
      <c r="A205" s="294"/>
      <c r="B205" s="294"/>
      <c r="C205" s="294"/>
      <c r="D205" s="294"/>
      <c r="E205" s="294"/>
      <c r="F205" s="294"/>
      <c r="G205" s="294"/>
      <c r="H205" s="294"/>
      <c r="I205" s="294"/>
      <c r="J205" s="294"/>
      <c r="K205" s="294"/>
      <c r="L205" s="294"/>
      <c r="M205" s="294"/>
      <c r="N205" s="294"/>
      <c r="O205" s="294"/>
      <c r="P205" s="294"/>
    </row>
    <row r="206" spans="1:16" ht="15.75" customHeight="1">
      <c r="A206" s="294"/>
      <c r="B206" s="294"/>
      <c r="C206" s="294"/>
      <c r="D206" s="294"/>
      <c r="E206" s="294"/>
      <c r="F206" s="294"/>
      <c r="G206" s="294"/>
      <c r="H206" s="294"/>
      <c r="I206" s="294"/>
      <c r="J206" s="294"/>
      <c r="K206" s="294"/>
      <c r="L206" s="294"/>
      <c r="M206" s="294"/>
      <c r="N206" s="294"/>
      <c r="O206" s="294"/>
      <c r="P206" s="294"/>
    </row>
    <row r="207" spans="1:16" ht="15.75" customHeight="1">
      <c r="A207" s="294"/>
      <c r="B207" s="294"/>
      <c r="C207" s="294"/>
      <c r="D207" s="294"/>
      <c r="E207" s="294"/>
      <c r="F207" s="294"/>
      <c r="G207" s="294"/>
      <c r="H207" s="294"/>
      <c r="I207" s="294"/>
      <c r="J207" s="294"/>
      <c r="K207" s="294"/>
      <c r="L207" s="294"/>
      <c r="M207" s="294"/>
      <c r="N207" s="294"/>
      <c r="O207" s="294"/>
      <c r="P207" s="294"/>
    </row>
    <row r="208" spans="1:16" ht="15.75" customHeight="1">
      <c r="A208" s="294"/>
      <c r="B208" s="294"/>
      <c r="C208" s="294"/>
      <c r="D208" s="294"/>
      <c r="E208" s="294"/>
      <c r="F208" s="294"/>
      <c r="G208" s="294"/>
      <c r="H208" s="294"/>
      <c r="I208" s="294"/>
      <c r="J208" s="294"/>
      <c r="K208" s="294"/>
      <c r="L208" s="294"/>
      <c r="M208" s="294"/>
      <c r="N208" s="294"/>
      <c r="O208" s="294"/>
      <c r="P208" s="294"/>
    </row>
    <row r="209" spans="1:16" ht="15.75" customHeight="1">
      <c r="A209" s="294"/>
      <c r="B209" s="294"/>
      <c r="C209" s="294"/>
      <c r="D209" s="294"/>
      <c r="E209" s="294"/>
      <c r="F209" s="294"/>
      <c r="G209" s="294"/>
      <c r="H209" s="294"/>
      <c r="I209" s="294"/>
      <c r="J209" s="294"/>
      <c r="K209" s="294"/>
      <c r="L209" s="294"/>
      <c r="M209" s="294"/>
      <c r="N209" s="294"/>
      <c r="O209" s="294"/>
      <c r="P209" s="294"/>
    </row>
    <row r="210" spans="1:16" ht="15.75" customHeight="1">
      <c r="A210" s="294"/>
      <c r="B210" s="294"/>
      <c r="C210" s="294"/>
      <c r="D210" s="294"/>
      <c r="E210" s="294"/>
      <c r="F210" s="294"/>
      <c r="G210" s="294"/>
      <c r="H210" s="294"/>
      <c r="I210" s="294"/>
      <c r="J210" s="294"/>
      <c r="K210" s="294"/>
      <c r="L210" s="294"/>
      <c r="M210" s="294"/>
      <c r="N210" s="294"/>
      <c r="O210" s="294"/>
      <c r="P210" s="294"/>
    </row>
    <row r="211" spans="1:16" ht="15.75" customHeight="1">
      <c r="A211" s="294"/>
      <c r="B211" s="294"/>
      <c r="C211" s="294"/>
      <c r="D211" s="294"/>
      <c r="E211" s="294"/>
      <c r="F211" s="294"/>
      <c r="G211" s="294"/>
      <c r="H211" s="294"/>
      <c r="I211" s="294"/>
      <c r="J211" s="294"/>
      <c r="K211" s="294"/>
      <c r="L211" s="294"/>
      <c r="M211" s="294"/>
      <c r="N211" s="294"/>
      <c r="O211" s="294"/>
      <c r="P211" s="294"/>
    </row>
    <row r="212" spans="1:16" ht="15.75" customHeight="1">
      <c r="A212" s="294"/>
      <c r="B212" s="294"/>
      <c r="C212" s="294"/>
      <c r="D212" s="294"/>
      <c r="E212" s="294"/>
      <c r="F212" s="294"/>
      <c r="G212" s="294"/>
      <c r="H212" s="294"/>
      <c r="I212" s="294"/>
      <c r="J212" s="294"/>
      <c r="K212" s="294"/>
      <c r="L212" s="294"/>
      <c r="M212" s="294"/>
      <c r="N212" s="294"/>
      <c r="O212" s="294"/>
      <c r="P212" s="294"/>
    </row>
    <row r="213" spans="1:16" ht="15.75" customHeight="1">
      <c r="A213" s="294"/>
      <c r="B213" s="294"/>
      <c r="C213" s="294"/>
      <c r="D213" s="294"/>
      <c r="E213" s="294"/>
      <c r="F213" s="294"/>
      <c r="G213" s="294"/>
      <c r="H213" s="294"/>
      <c r="I213" s="294"/>
      <c r="J213" s="294"/>
      <c r="K213" s="294"/>
      <c r="L213" s="294"/>
      <c r="M213" s="294"/>
      <c r="N213" s="294"/>
      <c r="O213" s="294"/>
      <c r="P213" s="294"/>
    </row>
    <row r="214" spans="1:16" ht="15.75" customHeight="1">
      <c r="A214" s="294"/>
      <c r="B214" s="294"/>
      <c r="C214" s="294"/>
      <c r="D214" s="294"/>
      <c r="E214" s="294"/>
      <c r="F214" s="294"/>
      <c r="G214" s="294"/>
      <c r="H214" s="294"/>
      <c r="I214" s="294"/>
      <c r="J214" s="294"/>
      <c r="K214" s="294"/>
      <c r="L214" s="294"/>
      <c r="M214" s="294"/>
      <c r="N214" s="294"/>
      <c r="O214" s="294"/>
      <c r="P214" s="294"/>
    </row>
    <row r="215" spans="1:16" ht="15.75" customHeight="1">
      <c r="A215" s="294"/>
      <c r="B215" s="294"/>
      <c r="C215" s="294"/>
      <c r="D215" s="294"/>
      <c r="E215" s="294"/>
      <c r="F215" s="294"/>
      <c r="G215" s="294"/>
      <c r="H215" s="294"/>
      <c r="I215" s="294"/>
      <c r="J215" s="294"/>
      <c r="K215" s="294"/>
      <c r="L215" s="294"/>
      <c r="M215" s="294"/>
      <c r="N215" s="294"/>
      <c r="O215" s="294"/>
      <c r="P215" s="294"/>
    </row>
    <row r="216" spans="1:16" ht="15.75" customHeight="1">
      <c r="A216" s="294"/>
      <c r="B216" s="294"/>
      <c r="C216" s="294"/>
      <c r="D216" s="294"/>
      <c r="E216" s="294"/>
      <c r="F216" s="294"/>
      <c r="G216" s="294"/>
      <c r="H216" s="294"/>
      <c r="I216" s="294"/>
      <c r="J216" s="294"/>
      <c r="K216" s="294"/>
      <c r="L216" s="294"/>
      <c r="M216" s="294"/>
      <c r="N216" s="294"/>
      <c r="O216" s="294"/>
      <c r="P216" s="294"/>
    </row>
    <row r="217" spans="1:16" ht="15.75" customHeight="1">
      <c r="A217" s="294"/>
      <c r="B217" s="294"/>
      <c r="C217" s="294"/>
      <c r="D217" s="294"/>
      <c r="E217" s="294"/>
      <c r="F217" s="294"/>
      <c r="G217" s="294"/>
      <c r="H217" s="294"/>
      <c r="I217" s="294"/>
      <c r="J217" s="294"/>
      <c r="K217" s="294"/>
      <c r="L217" s="294"/>
      <c r="M217" s="294"/>
      <c r="N217" s="294"/>
      <c r="O217" s="294"/>
      <c r="P217" s="294"/>
    </row>
    <row r="218" spans="1:16" ht="15.75" customHeight="1">
      <c r="A218" s="392" t="s">
        <v>374</v>
      </c>
      <c r="B218" s="294"/>
      <c r="C218" s="294"/>
      <c r="D218" s="294"/>
      <c r="E218" s="294"/>
      <c r="F218" s="294"/>
      <c r="G218" s="294"/>
      <c r="H218" s="294"/>
      <c r="I218" s="294"/>
      <c r="J218" s="294"/>
      <c r="K218" s="294"/>
      <c r="L218" s="294"/>
      <c r="M218" s="294"/>
      <c r="N218" s="294"/>
      <c r="O218" s="294"/>
      <c r="P218" s="294"/>
    </row>
    <row r="219" spans="1:16" ht="15.75" customHeight="1">
      <c r="A219" s="294"/>
      <c r="B219" s="294"/>
      <c r="C219" s="294"/>
      <c r="D219" s="294"/>
      <c r="E219" s="294"/>
      <c r="F219" s="294"/>
      <c r="G219" s="294"/>
      <c r="H219" s="294"/>
      <c r="I219" s="294"/>
      <c r="J219" s="294"/>
      <c r="K219" s="294"/>
      <c r="L219" s="294"/>
      <c r="M219" s="294"/>
      <c r="N219" s="294"/>
      <c r="O219" s="294"/>
      <c r="P219" s="294"/>
    </row>
    <row r="220" spans="1:16" ht="15.75" customHeight="1">
      <c r="A220" s="431" t="s">
        <v>375</v>
      </c>
      <c r="B220" s="319"/>
      <c r="C220" s="319"/>
      <c r="D220" s="431" t="str">
        <f>$D$100</f>
        <v>Av1</v>
      </c>
      <c r="E220" s="319"/>
      <c r="F220" s="432" t="s">
        <v>39</v>
      </c>
      <c r="G220" s="431" t="str">
        <f ca="1">$G$100</f>
        <v>Av13</v>
      </c>
      <c r="H220" s="319"/>
      <c r="I220" s="432" t="s">
        <v>39</v>
      </c>
      <c r="J220" s="431" t="str">
        <f ca="1">$J$100</f>
        <v>Av14</v>
      </c>
      <c r="K220" s="319"/>
      <c r="L220" s="432" t="s">
        <v>39</v>
      </c>
      <c r="M220" s="431" t="str">
        <f ca="1">$M$100</f>
        <v>Av15</v>
      </c>
      <c r="N220" s="319"/>
      <c r="O220" s="431" t="s">
        <v>356</v>
      </c>
      <c r="P220" s="319"/>
    </row>
    <row r="221" spans="1:16" ht="15.75" customHeight="1">
      <c r="A221" s="317"/>
      <c r="B221" s="317"/>
      <c r="C221" s="317"/>
      <c r="D221" s="365">
        <f ca="1">OFFSET(BD!$A$2,,MATCH(D220,BD!$B$1:$P$1,0))</f>
        <v>44517</v>
      </c>
      <c r="E221" s="317"/>
      <c r="F221" s="317"/>
      <c r="G221" s="365">
        <f ca="1">OFFSET(BD!$A$2,,MATCH(G220,BD!$B$1:$P$1,0))</f>
        <v>0</v>
      </c>
      <c r="H221" s="317"/>
      <c r="I221" s="317"/>
      <c r="J221" s="365">
        <f ca="1">OFFSET(BD!$A$2,,MATCH(J220,BD!$B$1:$P$1,0))</f>
        <v>0</v>
      </c>
      <c r="K221" s="317"/>
      <c r="L221" s="317"/>
      <c r="M221" s="365">
        <f ca="1">OFFSET(BD!$A$2,,MATCH(M220,BD!$B$1:$P$1,0))</f>
        <v>0</v>
      </c>
      <c r="N221" s="317"/>
      <c r="O221" s="317"/>
      <c r="P221" s="317"/>
    </row>
    <row r="222" spans="1:16" ht="15.75" customHeight="1">
      <c r="A222" s="339" t="s">
        <v>158</v>
      </c>
      <c r="B222" s="294"/>
      <c r="C222" s="294"/>
      <c r="D222" s="468">
        <f ca="1">OFFSET(BD!$A101,0,MATCH(D$220,BD!$B$1:$P$1,0))</f>
        <v>9.16</v>
      </c>
      <c r="E222" s="294"/>
      <c r="F222" s="123" t="str">
        <f t="shared" ref="F222:F226" ca="1" si="9">IF(OR(D222="-",G222="-"),"-",(G222-D222)*100/D222)</f>
        <v>-</v>
      </c>
      <c r="G222" s="468" t="str">
        <f ca="1">OFFSET(BD!$A101,0,MATCH(G$220,BD!$B$1:$P$1,0))</f>
        <v>-</v>
      </c>
      <c r="H222" s="294"/>
      <c r="I222" s="123" t="str">
        <f t="shared" ref="I222:I226" ca="1" si="10">IF(OR(G222="-",J222="-"),"-",(J222-G222)*100/G222)</f>
        <v>-</v>
      </c>
      <c r="J222" s="475" t="str">
        <f ca="1">OFFSET(BD!$A101,0,MATCH(J$220,BD!$B$1:$P$1,0))</f>
        <v>-</v>
      </c>
      <c r="K222" s="294"/>
      <c r="L222" s="123" t="str">
        <f t="shared" ref="L222:L226" ca="1" si="11">IF(OR(J222="-",M222="-"),"-",(M222-J222)*100/J222)</f>
        <v>-</v>
      </c>
      <c r="M222" s="468" t="str">
        <f ca="1">OFFSET(BD!$A101,0,MATCH(M$220,BD!$B$1:$P$1,0))</f>
        <v>-</v>
      </c>
      <c r="N222" s="294"/>
      <c r="O222" s="468" t="e">
        <f ca="1">'BD tratado'!D101</f>
        <v>#NAME?</v>
      </c>
      <c r="P222" s="294"/>
    </row>
    <row r="223" spans="1:16" ht="15.75" customHeight="1">
      <c r="A223" s="338" t="s">
        <v>159</v>
      </c>
      <c r="B223" s="294"/>
      <c r="C223" s="294"/>
      <c r="D223" s="468">
        <f ca="1">OFFSET(BD!$A102,0,MATCH(D$220,BD!$B$1:$P$1,0))</f>
        <v>9.1300000000000008</v>
      </c>
      <c r="E223" s="294"/>
      <c r="F223" s="123" t="str">
        <f t="shared" ca="1" si="9"/>
        <v>-</v>
      </c>
      <c r="G223" s="468" t="str">
        <f ca="1">OFFSET(BD!$A102,0,MATCH(G$220,BD!$B$1:$P$1,0))</f>
        <v>-</v>
      </c>
      <c r="H223" s="294"/>
      <c r="I223" s="123" t="str">
        <f t="shared" ca="1" si="10"/>
        <v>-</v>
      </c>
      <c r="J223" s="475" t="str">
        <f ca="1">OFFSET(BD!$A102,0,MATCH(J$220,BD!$B$1:$P$1,0))</f>
        <v>-</v>
      </c>
      <c r="K223" s="294"/>
      <c r="L223" s="123" t="str">
        <f t="shared" ca="1" si="11"/>
        <v>-</v>
      </c>
      <c r="M223" s="468" t="str">
        <f ca="1">OFFSET(BD!$A102,0,MATCH(M$220,BD!$B$1:$P$1,0))</f>
        <v>-</v>
      </c>
      <c r="N223" s="294"/>
      <c r="O223" s="468" t="e">
        <f ca="1">'BD tratado'!D102</f>
        <v>#NAME?</v>
      </c>
      <c r="P223" s="294"/>
    </row>
    <row r="224" spans="1:16" ht="15.75" customHeight="1">
      <c r="A224" s="339" t="s">
        <v>160</v>
      </c>
      <c r="B224" s="294"/>
      <c r="C224" s="294"/>
      <c r="D224" s="468">
        <f ca="1">OFFSET(BD!$A103,0,MATCH(D$220,BD!$B$1:$P$1,0))</f>
        <v>2.88</v>
      </c>
      <c r="E224" s="294"/>
      <c r="F224" s="123" t="str">
        <f t="shared" ca="1" si="9"/>
        <v>-</v>
      </c>
      <c r="G224" s="468" t="str">
        <f ca="1">OFFSET(BD!$A103,0,MATCH(G$220,BD!$B$1:$P$1,0))</f>
        <v>-</v>
      </c>
      <c r="H224" s="294"/>
      <c r="I224" s="123" t="str">
        <f t="shared" ca="1" si="10"/>
        <v>-</v>
      </c>
      <c r="J224" s="475" t="str">
        <f ca="1">OFFSET(BD!$A103,0,MATCH(J$220,BD!$B$1:$P$1,0))</f>
        <v>-</v>
      </c>
      <c r="K224" s="294"/>
      <c r="L224" s="123" t="str">
        <f t="shared" ca="1" si="11"/>
        <v>-</v>
      </c>
      <c r="M224" s="468" t="str">
        <f ca="1">OFFSET(BD!$A103,0,MATCH(M$220,BD!$B$1:$P$1,0))</f>
        <v>-</v>
      </c>
      <c r="N224" s="294"/>
      <c r="O224" s="468" t="e">
        <f ca="1">'BD tratado'!D103</f>
        <v>#NAME?</v>
      </c>
      <c r="P224" s="294"/>
    </row>
    <row r="225" spans="1:16" ht="15.75" customHeight="1">
      <c r="A225" s="338" t="s">
        <v>161</v>
      </c>
      <c r="B225" s="294"/>
      <c r="C225" s="294"/>
      <c r="D225" s="468">
        <f ca="1">OFFSET(BD!$A104,0,MATCH(D$220,BD!$B$1:$P$1,0))</f>
        <v>2.76</v>
      </c>
      <c r="E225" s="294"/>
      <c r="F225" s="123" t="str">
        <f t="shared" ca="1" si="9"/>
        <v>-</v>
      </c>
      <c r="G225" s="468" t="str">
        <f ca="1">OFFSET(BD!$A104,0,MATCH(G$220,BD!$B$1:$P$1,0))</f>
        <v>-</v>
      </c>
      <c r="H225" s="294"/>
      <c r="I225" s="123" t="str">
        <f t="shared" ca="1" si="10"/>
        <v>-</v>
      </c>
      <c r="J225" s="475" t="str">
        <f ca="1">OFFSET(BD!$A104,0,MATCH(J$220,BD!$B$1:$P$1,0))</f>
        <v>-</v>
      </c>
      <c r="K225" s="294"/>
      <c r="L225" s="123" t="str">
        <f t="shared" ca="1" si="11"/>
        <v>-</v>
      </c>
      <c r="M225" s="468" t="str">
        <f ca="1">OFFSET(BD!$A104,0,MATCH(M$220,BD!$B$1:$P$1,0))</f>
        <v>-</v>
      </c>
      <c r="N225" s="294"/>
      <c r="O225" s="468" t="e">
        <f ca="1">'BD tratado'!D104</f>
        <v>#NAME?</v>
      </c>
      <c r="P225" s="294"/>
    </row>
    <row r="226" spans="1:16" ht="15.75" customHeight="1">
      <c r="A226" s="472" t="s">
        <v>162</v>
      </c>
      <c r="B226" s="317"/>
      <c r="C226" s="317"/>
      <c r="D226" s="469">
        <f ca="1">OFFSET(BD!$A105,0,MATCH(D$220,BD!$B$1:$P$1,0))</f>
        <v>23.9</v>
      </c>
      <c r="E226" s="317"/>
      <c r="F226" s="124" t="str">
        <f t="shared" ca="1" si="9"/>
        <v>-</v>
      </c>
      <c r="G226" s="469" t="str">
        <f ca="1">OFFSET(BD!$A105,0,MATCH(G$220,BD!$B$1:$P$1,0))</f>
        <v>-</v>
      </c>
      <c r="H226" s="317"/>
      <c r="I226" s="124" t="str">
        <f t="shared" ca="1" si="10"/>
        <v>-</v>
      </c>
      <c r="J226" s="473" t="str">
        <f ca="1">OFFSET(BD!$A105,0,MATCH(J$220,BD!$B$1:$P$1,0))</f>
        <v>-</v>
      </c>
      <c r="K226" s="317"/>
      <c r="L226" s="124" t="str">
        <f t="shared" ca="1" si="11"/>
        <v>-</v>
      </c>
      <c r="M226" s="469" t="str">
        <f ca="1">OFFSET(BD!$A105,0,MATCH(M$220,BD!$B$1:$P$1,0))</f>
        <v>-</v>
      </c>
      <c r="N226" s="317"/>
      <c r="O226" s="469" t="e">
        <f ca="1">'BD tratado'!D105</f>
        <v>#NAME?</v>
      </c>
      <c r="P226" s="317"/>
    </row>
    <row r="228" spans="1:16" ht="15.75" customHeight="1">
      <c r="A228" s="294"/>
      <c r="B228" s="294"/>
      <c r="C228" s="294"/>
      <c r="D228" s="294"/>
      <c r="E228" s="294"/>
      <c r="F228" s="294"/>
      <c r="G228" s="294"/>
      <c r="H228" s="294"/>
      <c r="I228" s="294"/>
      <c r="J228" s="294"/>
      <c r="K228" s="294"/>
      <c r="L228" s="294"/>
      <c r="M228" s="294"/>
      <c r="N228" s="294"/>
      <c r="O228" s="294"/>
      <c r="P228" s="294"/>
    </row>
    <row r="229" spans="1:16" ht="15.75" customHeight="1">
      <c r="A229" s="294"/>
      <c r="B229" s="294"/>
      <c r="C229" s="294"/>
      <c r="D229" s="294"/>
      <c r="E229" s="294"/>
      <c r="F229" s="294"/>
      <c r="G229" s="294"/>
      <c r="H229" s="294"/>
      <c r="I229" s="294"/>
      <c r="J229" s="294"/>
      <c r="K229" s="294"/>
      <c r="L229" s="294"/>
      <c r="M229" s="294"/>
      <c r="N229" s="294"/>
      <c r="O229" s="294"/>
      <c r="P229" s="294"/>
    </row>
    <row r="230" spans="1:16" ht="15.75" customHeight="1">
      <c r="A230" s="294"/>
      <c r="B230" s="294"/>
      <c r="C230" s="294"/>
      <c r="D230" s="294"/>
      <c r="E230" s="294"/>
      <c r="F230" s="294"/>
      <c r="G230" s="294"/>
      <c r="H230" s="294"/>
      <c r="I230" s="294"/>
      <c r="J230" s="294"/>
      <c r="K230" s="294"/>
      <c r="L230" s="294"/>
      <c r="M230" s="294"/>
      <c r="N230" s="294"/>
      <c r="O230" s="294"/>
      <c r="P230" s="294"/>
    </row>
    <row r="231" spans="1:16" ht="15.75" customHeight="1">
      <c r="A231" s="294"/>
      <c r="B231" s="294"/>
      <c r="C231" s="294"/>
      <c r="D231" s="294"/>
      <c r="E231" s="294"/>
      <c r="F231" s="294"/>
      <c r="G231" s="294"/>
      <c r="H231" s="294"/>
      <c r="I231" s="294"/>
      <c r="J231" s="294"/>
      <c r="K231" s="294"/>
      <c r="L231" s="294"/>
      <c r="M231" s="294"/>
      <c r="N231" s="294"/>
      <c r="O231" s="294"/>
      <c r="P231" s="294"/>
    </row>
    <row r="232" spans="1:16" ht="15.75" customHeight="1">
      <c r="A232" s="294"/>
      <c r="B232" s="294"/>
      <c r="C232" s="294"/>
      <c r="D232" s="294"/>
      <c r="E232" s="294"/>
      <c r="F232" s="294"/>
      <c r="G232" s="294"/>
      <c r="H232" s="294"/>
      <c r="I232" s="294"/>
      <c r="J232" s="294"/>
      <c r="K232" s="294"/>
      <c r="L232" s="294"/>
      <c r="M232" s="294"/>
      <c r="N232" s="294"/>
      <c r="O232" s="294"/>
      <c r="P232" s="294"/>
    </row>
    <row r="233" spans="1:16" ht="15.75" customHeight="1">
      <c r="A233" s="294"/>
      <c r="B233" s="294"/>
      <c r="C233" s="294"/>
      <c r="D233" s="294"/>
      <c r="E233" s="294"/>
      <c r="F233" s="294"/>
      <c r="G233" s="294"/>
      <c r="H233" s="294"/>
      <c r="I233" s="294"/>
      <c r="J233" s="294"/>
      <c r="K233" s="294"/>
      <c r="L233" s="294"/>
      <c r="M233" s="294"/>
      <c r="N233" s="294"/>
      <c r="O233" s="294"/>
      <c r="P233" s="294"/>
    </row>
    <row r="234" spans="1:16" ht="15.75" customHeight="1">
      <c r="A234" s="294"/>
      <c r="B234" s="294"/>
      <c r="C234" s="294"/>
      <c r="D234" s="294"/>
      <c r="E234" s="294"/>
      <c r="F234" s="294"/>
      <c r="G234" s="294"/>
      <c r="H234" s="294"/>
      <c r="I234" s="294"/>
      <c r="J234" s="294"/>
      <c r="K234" s="294"/>
      <c r="L234" s="294"/>
      <c r="M234" s="294"/>
      <c r="N234" s="294"/>
      <c r="O234" s="294"/>
      <c r="P234" s="294"/>
    </row>
    <row r="235" spans="1:16" ht="15.75" customHeight="1">
      <c r="A235" s="294"/>
      <c r="B235" s="294"/>
      <c r="C235" s="294"/>
      <c r="D235" s="294"/>
      <c r="E235" s="294"/>
      <c r="F235" s="294"/>
      <c r="G235" s="294"/>
      <c r="H235" s="294"/>
      <c r="I235" s="294"/>
      <c r="J235" s="294"/>
      <c r="K235" s="294"/>
      <c r="L235" s="294"/>
      <c r="M235" s="294"/>
      <c r="N235" s="294"/>
      <c r="O235" s="294"/>
      <c r="P235" s="294"/>
    </row>
    <row r="236" spans="1:16" ht="15.75" customHeight="1">
      <c r="A236" s="294"/>
      <c r="B236" s="294"/>
      <c r="C236" s="294"/>
      <c r="D236" s="294"/>
      <c r="E236" s="294"/>
      <c r="F236" s="294"/>
      <c r="G236" s="294"/>
      <c r="H236" s="294"/>
      <c r="I236" s="294"/>
      <c r="J236" s="294"/>
      <c r="K236" s="294"/>
      <c r="L236" s="294"/>
      <c r="M236" s="294"/>
      <c r="N236" s="294"/>
      <c r="O236" s="294"/>
      <c r="P236" s="294"/>
    </row>
    <row r="237" spans="1:16" ht="15.75" customHeight="1">
      <c r="A237" s="294"/>
      <c r="B237" s="294"/>
      <c r="C237" s="294"/>
      <c r="D237" s="294"/>
      <c r="E237" s="294"/>
      <c r="F237" s="294"/>
      <c r="G237" s="294"/>
      <c r="H237" s="294"/>
      <c r="I237" s="294"/>
      <c r="J237" s="294"/>
      <c r="K237" s="294"/>
      <c r="L237" s="294"/>
      <c r="M237" s="294"/>
      <c r="N237" s="294"/>
      <c r="O237" s="294"/>
      <c r="P237" s="294"/>
    </row>
    <row r="238" spans="1:16" ht="15.75" customHeight="1">
      <c r="A238" s="294"/>
      <c r="B238" s="294"/>
      <c r="C238" s="294"/>
      <c r="D238" s="294"/>
      <c r="E238" s="294"/>
      <c r="F238" s="294"/>
      <c r="G238" s="294"/>
      <c r="H238" s="294"/>
      <c r="I238" s="294"/>
      <c r="J238" s="294"/>
      <c r="K238" s="294"/>
      <c r="L238" s="294"/>
      <c r="M238" s="294"/>
      <c r="N238" s="294"/>
      <c r="O238" s="294"/>
      <c r="P238" s="294"/>
    </row>
    <row r="239" spans="1:16" ht="15.75" customHeight="1">
      <c r="A239" s="294"/>
      <c r="B239" s="294"/>
      <c r="C239" s="294"/>
      <c r="D239" s="294"/>
      <c r="E239" s="294"/>
      <c r="F239" s="294"/>
      <c r="G239" s="294"/>
      <c r="H239" s="294"/>
      <c r="I239" s="294"/>
      <c r="J239" s="294"/>
      <c r="K239" s="294"/>
      <c r="L239" s="294"/>
      <c r="M239" s="294"/>
      <c r="N239" s="294"/>
      <c r="O239" s="294"/>
      <c r="P239" s="294"/>
    </row>
    <row r="241" spans="1:16" ht="15.75" customHeight="1">
      <c r="A241" s="431" t="s">
        <v>376</v>
      </c>
      <c r="B241" s="319"/>
      <c r="C241" s="319"/>
      <c r="D241" s="431" t="str">
        <f>Laudo!$D$100</f>
        <v>Av1</v>
      </c>
      <c r="E241" s="319"/>
      <c r="F241" s="432" t="s">
        <v>39</v>
      </c>
      <c r="G241" s="431" t="str">
        <f ca="1">Laudo!$G$100</f>
        <v>Av13</v>
      </c>
      <c r="H241" s="319"/>
      <c r="I241" s="432" t="s">
        <v>39</v>
      </c>
      <c r="J241" s="431" t="str">
        <f ca="1">Laudo!$J$100</f>
        <v>Av14</v>
      </c>
      <c r="K241" s="319"/>
      <c r="L241" s="432" t="s">
        <v>39</v>
      </c>
      <c r="M241" s="431" t="str">
        <f ca="1">Laudo!$M$100</f>
        <v>Av15</v>
      </c>
      <c r="N241" s="319"/>
      <c r="O241" s="431" t="s">
        <v>356</v>
      </c>
      <c r="P241" s="319"/>
    </row>
    <row r="242" spans="1:16" ht="15.75" customHeight="1">
      <c r="A242" s="317"/>
      <c r="B242" s="317"/>
      <c r="C242" s="317"/>
      <c r="D242" s="365">
        <f ca="1">Laudo!$D$101</f>
        <v>44517</v>
      </c>
      <c r="E242" s="317"/>
      <c r="F242" s="317"/>
      <c r="G242" s="365">
        <f ca="1">Laudo!$G$101</f>
        <v>0</v>
      </c>
      <c r="H242" s="317"/>
      <c r="I242" s="317"/>
      <c r="J242" s="365">
        <f ca="1">Laudo!$J$101</f>
        <v>0</v>
      </c>
      <c r="K242" s="317"/>
      <c r="L242" s="317"/>
      <c r="M242" s="365">
        <f ca="1">Laudo!$M$101</f>
        <v>0</v>
      </c>
      <c r="N242" s="317"/>
      <c r="O242" s="317"/>
      <c r="P242" s="317"/>
    </row>
    <row r="243" spans="1:16" ht="15.75" customHeight="1">
      <c r="A243" s="339" t="s">
        <v>163</v>
      </c>
      <c r="B243" s="294"/>
      <c r="C243" s="294"/>
      <c r="D243" s="468">
        <f ca="1">OFFSET(BD!$A107,0,MATCH(D$241,BD!$B$1:$P$1,0))</f>
        <v>3.3</v>
      </c>
      <c r="E243" s="294"/>
      <c r="F243" s="123" t="str">
        <f t="shared" ref="F243:F247" ca="1" si="12">IF(OR(D243="-",G243="-"),"-",(G243-D243)*100/D243)</f>
        <v>-</v>
      </c>
      <c r="G243" s="475" t="str">
        <f ca="1">OFFSET(BD!$A107,0,MATCH(G$241,BD!$B$1:$P$1,0))</f>
        <v>-</v>
      </c>
      <c r="H243" s="294"/>
      <c r="I243" s="123" t="str">
        <f t="shared" ref="I243:I247" ca="1" si="13">IF(OR(G243="-",J243="-"),"-",(J243-G243)*100/G243)</f>
        <v>-</v>
      </c>
      <c r="J243" s="475" t="str">
        <f ca="1">OFFSET(BD!$A107,0,MATCH(J$241,BD!$B$1:$P$1,0))</f>
        <v>-</v>
      </c>
      <c r="K243" s="294"/>
      <c r="L243" s="123" t="str">
        <f t="shared" ref="L243:L247" ca="1" si="14">IF(OR(J243="-",M243="-"),"-",(M243-J243)*100/J243)</f>
        <v>-</v>
      </c>
      <c r="M243" s="468" t="str">
        <f ca="1">OFFSET(BD!$A107,0,MATCH(M$241,BD!$B$1:$P$1,0))</f>
        <v>-</v>
      </c>
      <c r="N243" s="294"/>
      <c r="O243" s="468" t="e">
        <f ca="1">'BD tratado'!D107</f>
        <v>#NAME?</v>
      </c>
      <c r="P243" s="294"/>
    </row>
    <row r="244" spans="1:16" ht="15.75" customHeight="1">
      <c r="A244" s="338" t="s">
        <v>164</v>
      </c>
      <c r="B244" s="294"/>
      <c r="C244" s="294"/>
      <c r="D244" s="468">
        <f ca="1">OFFSET(BD!$A108,0,MATCH(D$241,BD!$B$1:$P$1,0))</f>
        <v>3.3</v>
      </c>
      <c r="E244" s="294"/>
      <c r="F244" s="123" t="str">
        <f t="shared" ca="1" si="12"/>
        <v>-</v>
      </c>
      <c r="G244" s="475" t="str">
        <f ca="1">OFFSET(BD!$A108,0,MATCH(G$241,BD!$B$1:$P$1,0))</f>
        <v>-</v>
      </c>
      <c r="H244" s="294"/>
      <c r="I244" s="123" t="str">
        <f t="shared" ca="1" si="13"/>
        <v>-</v>
      </c>
      <c r="J244" s="475" t="str">
        <f ca="1">OFFSET(BD!$A108,0,MATCH(J$241,BD!$B$1:$P$1,0))</f>
        <v>-</v>
      </c>
      <c r="K244" s="294"/>
      <c r="L244" s="123" t="str">
        <f t="shared" ca="1" si="14"/>
        <v>-</v>
      </c>
      <c r="M244" s="468" t="str">
        <f ca="1">OFFSET(BD!$A108,0,MATCH(M$241,BD!$B$1:$P$1,0))</f>
        <v>-</v>
      </c>
      <c r="N244" s="294"/>
      <c r="O244" s="468" t="e">
        <f ca="1">'BD tratado'!D108</f>
        <v>#NAME?</v>
      </c>
      <c r="P244" s="294"/>
    </row>
    <row r="245" spans="1:16" ht="15.75" customHeight="1">
      <c r="A245" s="339" t="s">
        <v>165</v>
      </c>
      <c r="B245" s="294"/>
      <c r="C245" s="294"/>
      <c r="D245" s="468">
        <f ca="1">OFFSET(BD!$A109,0,MATCH(D$241,BD!$B$1:$P$1,0))</f>
        <v>1.3</v>
      </c>
      <c r="E245" s="294"/>
      <c r="F245" s="123" t="str">
        <f t="shared" ca="1" si="12"/>
        <v>-</v>
      </c>
      <c r="G245" s="475" t="str">
        <f ca="1">OFFSET(BD!$A109,0,MATCH(G$241,BD!$B$1:$P$1,0))</f>
        <v>-</v>
      </c>
      <c r="H245" s="294"/>
      <c r="I245" s="123" t="str">
        <f t="shared" ca="1" si="13"/>
        <v>-</v>
      </c>
      <c r="J245" s="475" t="str">
        <f ca="1">OFFSET(BD!$A109,0,MATCH(J$241,BD!$B$1:$P$1,0))</f>
        <v>-</v>
      </c>
      <c r="K245" s="294"/>
      <c r="L245" s="123" t="str">
        <f t="shared" ca="1" si="14"/>
        <v>-</v>
      </c>
      <c r="M245" s="468" t="str">
        <f ca="1">OFFSET(BD!$A109,0,MATCH(M$241,BD!$B$1:$P$1,0))</f>
        <v>-</v>
      </c>
      <c r="N245" s="294"/>
      <c r="O245" s="468" t="e">
        <f ca="1">'BD tratado'!D109</f>
        <v>#NAME?</v>
      </c>
      <c r="P245" s="294"/>
    </row>
    <row r="246" spans="1:16" ht="15.75" customHeight="1">
      <c r="A246" s="338" t="s">
        <v>166</v>
      </c>
      <c r="B246" s="294"/>
      <c r="C246" s="294"/>
      <c r="D246" s="468">
        <f ca="1">OFFSET(BD!$A110,0,MATCH(D$241,BD!$B$1:$P$1,0))</f>
        <v>1.3</v>
      </c>
      <c r="E246" s="294"/>
      <c r="F246" s="123" t="str">
        <f t="shared" ca="1" si="12"/>
        <v>-</v>
      </c>
      <c r="G246" s="475" t="str">
        <f ca="1">OFFSET(BD!$A110,0,MATCH(G$241,BD!$B$1:$P$1,0))</f>
        <v>-</v>
      </c>
      <c r="H246" s="294"/>
      <c r="I246" s="123" t="str">
        <f t="shared" ca="1" si="13"/>
        <v>-</v>
      </c>
      <c r="J246" s="475" t="str">
        <f ca="1">OFFSET(BD!$A110,0,MATCH(J$241,BD!$B$1:$P$1,0))</f>
        <v>-</v>
      </c>
      <c r="K246" s="294"/>
      <c r="L246" s="123" t="str">
        <f t="shared" ca="1" si="14"/>
        <v>-</v>
      </c>
      <c r="M246" s="468" t="str">
        <f ca="1">OFFSET(BD!$A110,0,MATCH(M$241,BD!$B$1:$P$1,0))</f>
        <v>-</v>
      </c>
      <c r="N246" s="294"/>
      <c r="O246" s="468" t="e">
        <f ca="1">'BD tratado'!D110</f>
        <v>#NAME?</v>
      </c>
      <c r="P246" s="294"/>
    </row>
    <row r="247" spans="1:16" ht="15.75" customHeight="1">
      <c r="A247" s="472" t="s">
        <v>167</v>
      </c>
      <c r="B247" s="317"/>
      <c r="C247" s="317"/>
      <c r="D247" s="469">
        <f ca="1">OFFSET(BD!$A111,0,MATCH(D$241,BD!$B$1:$P$1,0))</f>
        <v>10.5</v>
      </c>
      <c r="E247" s="317"/>
      <c r="F247" s="124" t="str">
        <f t="shared" ca="1" si="12"/>
        <v>-</v>
      </c>
      <c r="G247" s="473" t="str">
        <f ca="1">OFFSET(BD!$A111,0,MATCH(G$241,BD!$B$1:$P$1,0))</f>
        <v>-</v>
      </c>
      <c r="H247" s="317"/>
      <c r="I247" s="124" t="str">
        <f t="shared" ca="1" si="13"/>
        <v>-</v>
      </c>
      <c r="J247" s="473" t="str">
        <f ca="1">OFFSET(BD!$A111,0,MATCH(J$241,BD!$B$1:$P$1,0))</f>
        <v>-</v>
      </c>
      <c r="K247" s="317"/>
      <c r="L247" s="124" t="str">
        <f t="shared" ca="1" si="14"/>
        <v>-</v>
      </c>
      <c r="M247" s="469" t="str">
        <f ca="1">OFFSET(BD!$A111,0,MATCH(M$241,BD!$B$1:$P$1,0))</f>
        <v>-</v>
      </c>
      <c r="N247" s="317"/>
      <c r="O247" s="469" t="e">
        <f ca="1">'BD tratado'!D111</f>
        <v>#NAME?</v>
      </c>
      <c r="P247" s="317"/>
    </row>
    <row r="248" spans="1:16" ht="15.75" customHeight="1">
      <c r="A248" s="68"/>
      <c r="B248" s="68"/>
      <c r="C248" s="68"/>
      <c r="D248" s="68"/>
      <c r="E248" s="68"/>
      <c r="F248" s="68"/>
      <c r="G248" s="68"/>
      <c r="H248" s="68"/>
      <c r="I248" s="68"/>
      <c r="J248" s="68"/>
      <c r="K248" s="68"/>
      <c r="L248" s="68"/>
      <c r="M248" s="68"/>
      <c r="N248" s="68"/>
      <c r="O248" s="68"/>
      <c r="P248" s="68"/>
    </row>
    <row r="249" spans="1:16" ht="15.75" customHeight="1">
      <c r="A249" s="331"/>
      <c r="B249" s="294"/>
      <c r="C249" s="294"/>
      <c r="D249" s="294"/>
      <c r="E249" s="294"/>
      <c r="F249" s="294"/>
      <c r="G249" s="294"/>
      <c r="H249" s="294"/>
      <c r="I249" s="294"/>
      <c r="J249" s="294"/>
      <c r="K249" s="294"/>
      <c r="L249" s="294"/>
      <c r="M249" s="294"/>
      <c r="N249" s="294"/>
      <c r="O249" s="294"/>
      <c r="P249" s="294"/>
    </row>
    <row r="250" spans="1:16" ht="15.75" customHeight="1">
      <c r="A250" s="294"/>
      <c r="B250" s="294"/>
      <c r="C250" s="294"/>
      <c r="D250" s="294"/>
      <c r="E250" s="294"/>
      <c r="F250" s="294"/>
      <c r="G250" s="294"/>
      <c r="H250" s="294"/>
      <c r="I250" s="294"/>
      <c r="J250" s="294"/>
      <c r="K250" s="294"/>
      <c r="L250" s="294"/>
      <c r="M250" s="294"/>
      <c r="N250" s="294"/>
      <c r="O250" s="294"/>
      <c r="P250" s="294"/>
    </row>
    <row r="251" spans="1:16" ht="15.75" customHeight="1">
      <c r="A251" s="294"/>
      <c r="B251" s="294"/>
      <c r="C251" s="294"/>
      <c r="D251" s="294"/>
      <c r="E251" s="294"/>
      <c r="F251" s="294"/>
      <c r="G251" s="294"/>
      <c r="H251" s="294"/>
      <c r="I251" s="294"/>
      <c r="J251" s="294"/>
      <c r="K251" s="294"/>
      <c r="L251" s="294"/>
      <c r="M251" s="294"/>
      <c r="N251" s="294"/>
      <c r="O251" s="294"/>
      <c r="P251" s="294"/>
    </row>
    <row r="252" spans="1:16" ht="15.75" customHeight="1">
      <c r="A252" s="294"/>
      <c r="B252" s="294"/>
      <c r="C252" s="294"/>
      <c r="D252" s="294"/>
      <c r="E252" s="294"/>
      <c r="F252" s="294"/>
      <c r="G252" s="294"/>
      <c r="H252" s="294"/>
      <c r="I252" s="294"/>
      <c r="J252" s="294"/>
      <c r="K252" s="294"/>
      <c r="L252" s="294"/>
      <c r="M252" s="294"/>
      <c r="N252" s="294"/>
      <c r="O252" s="294"/>
      <c r="P252" s="294"/>
    </row>
    <row r="253" spans="1:16" ht="15.75" customHeight="1">
      <c r="A253" s="294"/>
      <c r="B253" s="294"/>
      <c r="C253" s="294"/>
      <c r="D253" s="294"/>
      <c r="E253" s="294"/>
      <c r="F253" s="294"/>
      <c r="G253" s="294"/>
      <c r="H253" s="294"/>
      <c r="I253" s="294"/>
      <c r="J253" s="294"/>
      <c r="K253" s="294"/>
      <c r="L253" s="294"/>
      <c r="M253" s="294"/>
      <c r="N253" s="294"/>
      <c r="O253" s="294"/>
      <c r="P253" s="294"/>
    </row>
    <row r="254" spans="1:16" ht="15.75" customHeight="1">
      <c r="A254" s="294"/>
      <c r="B254" s="294"/>
      <c r="C254" s="294"/>
      <c r="D254" s="294"/>
      <c r="E254" s="294"/>
      <c r="F254" s="294"/>
      <c r="G254" s="294"/>
      <c r="H254" s="294"/>
      <c r="I254" s="294"/>
      <c r="J254" s="294"/>
      <c r="K254" s="294"/>
      <c r="L254" s="294"/>
      <c r="M254" s="294"/>
      <c r="N254" s="294"/>
      <c r="O254" s="294"/>
      <c r="P254" s="294"/>
    </row>
    <row r="255" spans="1:16" ht="15.75" customHeight="1">
      <c r="A255" s="294"/>
      <c r="B255" s="294"/>
      <c r="C255" s="294"/>
      <c r="D255" s="294"/>
      <c r="E255" s="294"/>
      <c r="F255" s="294"/>
      <c r="G255" s="294"/>
      <c r="H255" s="294"/>
      <c r="I255" s="294"/>
      <c r="J255" s="294"/>
      <c r="K255" s="294"/>
      <c r="L255" s="294"/>
      <c r="M255" s="294"/>
      <c r="N255" s="294"/>
      <c r="O255" s="294"/>
      <c r="P255" s="294"/>
    </row>
    <row r="256" spans="1:16" ht="15.75" customHeight="1">
      <c r="A256" s="294"/>
      <c r="B256" s="294"/>
      <c r="C256" s="294"/>
      <c r="D256" s="294"/>
      <c r="E256" s="294"/>
      <c r="F256" s="294"/>
      <c r="G256" s="294"/>
      <c r="H256" s="294"/>
      <c r="I256" s="294"/>
      <c r="J256" s="294"/>
      <c r="K256" s="294"/>
      <c r="L256" s="294"/>
      <c r="M256" s="294"/>
      <c r="N256" s="294"/>
      <c r="O256" s="294"/>
      <c r="P256" s="294"/>
    </row>
    <row r="257" spans="1:16" ht="15.75" customHeight="1">
      <c r="A257" s="294"/>
      <c r="B257" s="294"/>
      <c r="C257" s="294"/>
      <c r="D257" s="294"/>
      <c r="E257" s="294"/>
      <c r="F257" s="294"/>
      <c r="G257" s="294"/>
      <c r="H257" s="294"/>
      <c r="I257" s="294"/>
      <c r="J257" s="294"/>
      <c r="K257" s="294"/>
      <c r="L257" s="294"/>
      <c r="M257" s="294"/>
      <c r="N257" s="294"/>
      <c r="O257" s="294"/>
      <c r="P257" s="294"/>
    </row>
    <row r="258" spans="1:16" ht="15.75" customHeight="1">
      <c r="A258" s="294"/>
      <c r="B258" s="294"/>
      <c r="C258" s="294"/>
      <c r="D258" s="294"/>
      <c r="E258" s="294"/>
      <c r="F258" s="294"/>
      <c r="G258" s="294"/>
      <c r="H258" s="294"/>
      <c r="I258" s="294"/>
      <c r="J258" s="294"/>
      <c r="K258" s="294"/>
      <c r="L258" s="294"/>
      <c r="M258" s="294"/>
      <c r="N258" s="294"/>
      <c r="O258" s="294"/>
      <c r="P258" s="294"/>
    </row>
    <row r="259" spans="1:16" ht="15.75" customHeight="1">
      <c r="A259" s="294"/>
      <c r="B259" s="294"/>
      <c r="C259" s="294"/>
      <c r="D259" s="294"/>
      <c r="E259" s="294"/>
      <c r="F259" s="294"/>
      <c r="G259" s="294"/>
      <c r="H259" s="294"/>
      <c r="I259" s="294"/>
      <c r="J259" s="294"/>
      <c r="K259" s="294"/>
      <c r="L259" s="294"/>
      <c r="M259" s="294"/>
      <c r="N259" s="294"/>
      <c r="O259" s="294"/>
      <c r="P259" s="294"/>
    </row>
    <row r="260" spans="1:16" ht="15.75" customHeight="1">
      <c r="A260" s="294"/>
      <c r="B260" s="294"/>
      <c r="C260" s="294"/>
      <c r="D260" s="294"/>
      <c r="E260" s="294"/>
      <c r="F260" s="294"/>
      <c r="G260" s="294"/>
      <c r="H260" s="294"/>
      <c r="I260" s="294"/>
      <c r="J260" s="294"/>
      <c r="K260" s="294"/>
      <c r="L260" s="294"/>
      <c r="M260" s="294"/>
      <c r="N260" s="294"/>
      <c r="O260" s="294"/>
      <c r="P260" s="294"/>
    </row>
    <row r="261" spans="1:16" ht="15.75" customHeight="1">
      <c r="A261" s="392" t="s">
        <v>377</v>
      </c>
      <c r="B261" s="294"/>
      <c r="C261" s="294"/>
      <c r="D261" s="294"/>
      <c r="E261" s="294"/>
      <c r="F261" s="294"/>
      <c r="G261" s="294"/>
      <c r="H261" s="294"/>
      <c r="I261" s="294"/>
      <c r="J261" s="294"/>
      <c r="K261" s="294"/>
      <c r="L261" s="294"/>
      <c r="M261" s="294"/>
      <c r="N261" s="294"/>
      <c r="O261" s="294"/>
      <c r="P261" s="294"/>
    </row>
    <row r="262" spans="1:16" ht="15.75" customHeight="1">
      <c r="A262" s="294"/>
      <c r="B262" s="294"/>
      <c r="C262" s="294"/>
      <c r="D262" s="294"/>
      <c r="E262" s="294"/>
      <c r="F262" s="294"/>
      <c r="G262" s="294"/>
      <c r="H262" s="294"/>
      <c r="I262" s="294"/>
      <c r="J262" s="294"/>
      <c r="K262" s="294"/>
      <c r="L262" s="294"/>
      <c r="M262" s="294"/>
      <c r="N262" s="294"/>
      <c r="O262" s="294"/>
      <c r="P262" s="294"/>
    </row>
    <row r="263" spans="1:16" ht="15.75" customHeight="1">
      <c r="A263" s="350" t="s">
        <v>378</v>
      </c>
      <c r="B263" s="319"/>
      <c r="C263" s="319"/>
      <c r="D263" s="431" t="str">
        <f>$D$100</f>
        <v>Av1</v>
      </c>
      <c r="E263" s="319"/>
      <c r="F263" s="432" t="s">
        <v>39</v>
      </c>
      <c r="G263" s="431" t="str">
        <f ca="1">$G$100</f>
        <v>Av13</v>
      </c>
      <c r="H263" s="319"/>
      <c r="I263" s="432" t="s">
        <v>39</v>
      </c>
      <c r="J263" s="431" t="str">
        <f ca="1">$J$100</f>
        <v>Av14</v>
      </c>
      <c r="K263" s="319"/>
      <c r="L263" s="432" t="s">
        <v>39</v>
      </c>
      <c r="M263" s="431" t="str">
        <f ca="1">$M$100</f>
        <v>Av15</v>
      </c>
      <c r="N263" s="319"/>
      <c r="O263" s="431" t="s">
        <v>356</v>
      </c>
      <c r="P263" s="319"/>
    </row>
    <row r="264" spans="1:16" ht="15.75" customHeight="1">
      <c r="A264" s="317"/>
      <c r="B264" s="317"/>
      <c r="C264" s="317"/>
      <c r="D264" s="365">
        <f ca="1">OFFSET(BD!$A$2,,MATCH(D263,BD!$B$1:$P$1,0))</f>
        <v>44517</v>
      </c>
      <c r="E264" s="317"/>
      <c r="F264" s="317"/>
      <c r="G264" s="365">
        <f ca="1">OFFSET(BD!$A$2,,MATCH(G263,BD!$B$1:$P$1,0))</f>
        <v>0</v>
      </c>
      <c r="H264" s="317"/>
      <c r="I264" s="317"/>
      <c r="J264" s="365">
        <f ca="1">OFFSET(BD!$A$2,,MATCH(J263,BD!$B$1:$P$1,0))</f>
        <v>0</v>
      </c>
      <c r="K264" s="317"/>
      <c r="L264" s="317"/>
      <c r="M264" s="365">
        <f ca="1">OFFSET(BD!$A$2,,MATCH(M263,BD!$B$1:$P$1,0))</f>
        <v>0</v>
      </c>
      <c r="N264" s="317"/>
      <c r="O264" s="317"/>
      <c r="P264" s="317"/>
    </row>
    <row r="265" spans="1:16" ht="15.75" customHeight="1">
      <c r="A265" s="339" t="s">
        <v>379</v>
      </c>
      <c r="B265" s="294"/>
      <c r="C265" s="294"/>
      <c r="D265" s="468">
        <f ca="1">OFFSET(BD!$A46,0,MATCH(D$263,BD!$B$1:$P$1,0))</f>
        <v>30.7</v>
      </c>
      <c r="E265" s="294"/>
      <c r="F265" s="434" t="str">
        <f ca="1">IF(OR(D265="-",G265="-"),"-",(G265-D265)*100/D265)</f>
        <v>-</v>
      </c>
      <c r="G265" s="468" t="str">
        <f ca="1">OFFSET(BD!$A46,0,MATCH(G$263,BD!$B$1:$P$1,0))</f>
        <v>-</v>
      </c>
      <c r="H265" s="294"/>
      <c r="I265" s="434" t="str">
        <f ca="1">IF(OR(G265="-",J265="-"),"-",(J265-G265)*100/G265)</f>
        <v>-</v>
      </c>
      <c r="J265" s="331" t="str">
        <f ca="1">OFFSET(BD!$A46,0,MATCH(J$263,BD!$B$1:$P$1,0))</f>
        <v>-</v>
      </c>
      <c r="K265" s="294"/>
      <c r="L265" s="434" t="str">
        <f ca="1">IF(OR(J265="-",M265="-"),"-",(M265-J265)*100/J265)</f>
        <v>-</v>
      </c>
      <c r="M265" s="331" t="str">
        <f ca="1">OFFSET(BD!$A46,0,MATCH(M$263,BD!$B$1:$P$1,0))</f>
        <v>-</v>
      </c>
      <c r="N265" s="294"/>
      <c r="O265" s="468" t="e">
        <f ca="1">'BD tratado'!D46</f>
        <v>#NAME?</v>
      </c>
      <c r="P265" s="294"/>
    </row>
    <row r="266" spans="1:16" ht="15.75" customHeight="1">
      <c r="A266" s="294"/>
      <c r="B266" s="294"/>
      <c r="C266" s="294"/>
      <c r="D266" s="294"/>
      <c r="E266" s="294"/>
      <c r="F266" s="294"/>
      <c r="G266" s="294"/>
      <c r="H266" s="294"/>
      <c r="I266" s="294"/>
      <c r="J266" s="294"/>
      <c r="K266" s="294"/>
      <c r="L266" s="294"/>
      <c r="M266" s="294"/>
      <c r="N266" s="294"/>
      <c r="O266" s="294"/>
      <c r="P266" s="294"/>
    </row>
    <row r="267" spans="1:16" ht="15.75" customHeight="1">
      <c r="A267" s="339" t="s">
        <v>380</v>
      </c>
      <c r="B267" s="294"/>
      <c r="C267" s="294"/>
      <c r="D267" s="367">
        <f ca="1">OFFSET(BD!$A50,0,MATCH(D$263,BD!$B$1:$P$1,0))</f>
        <v>31.7</v>
      </c>
      <c r="E267" s="294"/>
      <c r="F267" s="434" t="str">
        <f ca="1">IF(OR(D267="-",G267="-"),"-",(G267-D267)*100/D267)</f>
        <v>-</v>
      </c>
      <c r="G267" s="367" t="str">
        <f ca="1">OFFSET(BD!$A50,0,MATCH(G$263,BD!$B$1:$P$1,0))</f>
        <v>-</v>
      </c>
      <c r="H267" s="294"/>
      <c r="I267" s="434" t="str">
        <f ca="1">IF(OR(G267="-",J267="-"),"-",(J267-G267)*100/G267)</f>
        <v>-</v>
      </c>
      <c r="J267" s="356" t="str">
        <f ca="1">OFFSET(BD!$A50,0,MATCH(J$263,BD!$B$1:$P$1,0))</f>
        <v>-</v>
      </c>
      <c r="K267" s="294"/>
      <c r="L267" s="434" t="str">
        <f ca="1">IF(OR(J267="-",M267="-"),"-",(M267-J267)*100/J267)</f>
        <v>-</v>
      </c>
      <c r="M267" s="356" t="str">
        <f ca="1">OFFSET(BD!$A50,0,MATCH(M$263,BD!$B$1:$P$1,0))</f>
        <v>-</v>
      </c>
      <c r="N267" s="294"/>
      <c r="O267" s="468" t="e">
        <f ca="1">'BD tratado'!D46</f>
        <v>#NAME?</v>
      </c>
      <c r="P267" s="294"/>
    </row>
    <row r="268" spans="1:16" ht="15.75" customHeight="1">
      <c r="A268" s="294"/>
      <c r="B268" s="294"/>
      <c r="C268" s="294"/>
      <c r="D268" s="294"/>
      <c r="E268" s="294"/>
      <c r="F268" s="294"/>
      <c r="G268" s="294"/>
      <c r="H268" s="294"/>
      <c r="I268" s="294"/>
      <c r="J268" s="294"/>
      <c r="K268" s="294"/>
      <c r="L268" s="294"/>
      <c r="M268" s="294"/>
      <c r="N268" s="294"/>
      <c r="O268" s="294"/>
      <c r="P268" s="294"/>
    </row>
    <row r="269" spans="1:16" ht="15.75" customHeight="1">
      <c r="A269" s="339" t="s">
        <v>381</v>
      </c>
      <c r="B269" s="294"/>
      <c r="C269" s="294"/>
      <c r="D269" s="367">
        <f ca="1">OFFSET(BD!$A54,0,MATCH(D$263,BD!$B$1:$P$1,0))</f>
        <v>25.5</v>
      </c>
      <c r="E269" s="294"/>
      <c r="F269" s="434" t="str">
        <f ca="1">IF(OR(D269="-",G269="-"),"-",(G269-D269)*100/D269)</f>
        <v>-</v>
      </c>
      <c r="G269" s="367" t="str">
        <f ca="1">OFFSET(BD!$A54,0,MATCH(G$263,BD!$B$1:$P$1,0))</f>
        <v>-</v>
      </c>
      <c r="H269" s="294"/>
      <c r="I269" s="434" t="str">
        <f ca="1">IF(OR(G269="-",J269="-"),"-",(J269-G269)*100/G269)</f>
        <v>-</v>
      </c>
      <c r="J269" s="356" t="str">
        <f ca="1">OFFSET(BD!$A54,0,MATCH(J$263,BD!$B$1:$P$1,0))</f>
        <v>-</v>
      </c>
      <c r="K269" s="294"/>
      <c r="L269" s="434" t="str">
        <f ca="1">IF(OR(J269="-",M269="-"),"-",(M269-J269)*100/J269)</f>
        <v>-</v>
      </c>
      <c r="M269" s="356" t="str">
        <f ca="1">OFFSET(BD!$A54,0,MATCH(M$263,BD!$B$1:$P$1,0))</f>
        <v>-</v>
      </c>
      <c r="N269" s="294"/>
      <c r="O269" s="468" t="e">
        <f ca="1">'BD tratado'!D54</f>
        <v>#NAME?</v>
      </c>
      <c r="P269" s="294"/>
    </row>
    <row r="270" spans="1:16" ht="15.75" customHeight="1">
      <c r="A270" s="294"/>
      <c r="B270" s="294"/>
      <c r="C270" s="294"/>
      <c r="D270" s="294"/>
      <c r="E270" s="294"/>
      <c r="F270" s="294"/>
      <c r="G270" s="294"/>
      <c r="H270" s="294"/>
      <c r="I270" s="294"/>
      <c r="J270" s="294"/>
      <c r="K270" s="294"/>
      <c r="L270" s="294"/>
      <c r="M270" s="294"/>
      <c r="N270" s="294"/>
      <c r="O270" s="294"/>
      <c r="P270" s="294"/>
    </row>
    <row r="271" spans="1:16" ht="15.75" customHeight="1">
      <c r="A271" s="339" t="s">
        <v>382</v>
      </c>
      <c r="B271" s="294"/>
      <c r="C271" s="294"/>
      <c r="D271" s="367">
        <f ca="1">OFFSET(BD!$A58,0,MATCH(D$263,BD!$B$1:$P$1,0))</f>
        <v>23.8</v>
      </c>
      <c r="E271" s="294"/>
      <c r="F271" s="434" t="str">
        <f ca="1">IF(OR(D271="-",G271="-"),"-",(G271-D271)*100/D271)</f>
        <v>-</v>
      </c>
      <c r="G271" s="367" t="str">
        <f ca="1">OFFSET(BD!$A58,0,MATCH(G$263,BD!$B$1:$P$1,0))</f>
        <v>-</v>
      </c>
      <c r="H271" s="294"/>
      <c r="I271" s="434" t="str">
        <f ca="1">IF(OR(G271="-",J271="-"),"-",(J271-G271)*100/G271)</f>
        <v>-</v>
      </c>
      <c r="J271" s="356" t="str">
        <f ca="1">OFFSET(BD!$A58,0,MATCH(J$263,BD!$B$1:$P$1,0))</f>
        <v>-</v>
      </c>
      <c r="K271" s="294"/>
      <c r="L271" s="434" t="str">
        <f ca="1">IF(OR(J271="-",M271="-"),"-",(M271-J271)*100/J271)</f>
        <v>-</v>
      </c>
      <c r="M271" s="356" t="str">
        <f ca="1">OFFSET(BD!$A58,0,MATCH(M$263,BD!$B$1:$P$1,0))</f>
        <v>-</v>
      </c>
      <c r="N271" s="294"/>
      <c r="O271" s="468" t="e">
        <f ca="1">'BD tratado'!D58</f>
        <v>#NAME?</v>
      </c>
      <c r="P271" s="294"/>
    </row>
    <row r="272" spans="1:16" ht="15.75" customHeight="1">
      <c r="A272" s="294"/>
      <c r="B272" s="294"/>
      <c r="C272" s="294"/>
      <c r="D272" s="294"/>
      <c r="E272" s="294"/>
      <c r="F272" s="294"/>
      <c r="G272" s="294"/>
      <c r="H272" s="294"/>
      <c r="I272" s="294"/>
      <c r="J272" s="294"/>
      <c r="K272" s="294"/>
      <c r="L272" s="294"/>
      <c r="M272" s="294"/>
      <c r="N272" s="294"/>
      <c r="O272" s="294"/>
      <c r="P272" s="294"/>
    </row>
    <row r="273" spans="1:16" ht="15.75" customHeight="1">
      <c r="A273" s="339" t="s">
        <v>383</v>
      </c>
      <c r="B273" s="294"/>
      <c r="C273" s="294"/>
      <c r="D273" s="468">
        <f ca="1">OFFSET(BD!$A59,0,MATCH(D$263,BD!$B$1:$P$1,0))</f>
        <v>49.3</v>
      </c>
      <c r="E273" s="294"/>
      <c r="F273" s="434" t="e">
        <f ca="1">IF(OR(D273="-",G273="-"),"-",(G273-D273)*100/D273)</f>
        <v>#VALUE!</v>
      </c>
      <c r="G273" s="468" t="e">
        <f ca="1">OFFSET(BD!$A59,0,MATCH(G$263,BD!$B$1:$P$1,0))</f>
        <v>#VALUE!</v>
      </c>
      <c r="H273" s="294"/>
      <c r="I273" s="434" t="e">
        <f ca="1">IF(OR(G273="-",J273="-"),"-",(J273-G273)*100/G273)</f>
        <v>#VALUE!</v>
      </c>
      <c r="J273" s="331" t="e">
        <f ca="1">OFFSET(BD!$A59,0,MATCH(J$263,BD!$B$1:$P$1,0))</f>
        <v>#VALUE!</v>
      </c>
      <c r="K273" s="294"/>
      <c r="L273" s="434" t="e">
        <f ca="1">IF(OR(J273="-",M273="-"),"-",(M273-J273)*100/J273)</f>
        <v>#VALUE!</v>
      </c>
      <c r="M273" s="331" t="e">
        <f ca="1">OFFSET(BD!$A59,0,MATCH(M$263,BD!$B$1:$P$1,0))</f>
        <v>#VALUE!</v>
      </c>
      <c r="N273" s="294"/>
      <c r="O273" s="468" t="e">
        <f ca="1">'BD tratado'!D59</f>
        <v>#NAME?</v>
      </c>
      <c r="P273" s="294"/>
    </row>
    <row r="274" spans="1:16" ht="15.75" customHeight="1">
      <c r="A274" s="317"/>
      <c r="B274" s="317"/>
      <c r="C274" s="317"/>
      <c r="D274" s="317"/>
      <c r="E274" s="317"/>
      <c r="F274" s="317"/>
      <c r="G274" s="317"/>
      <c r="H274" s="317"/>
      <c r="I274" s="317"/>
      <c r="J274" s="317"/>
      <c r="K274" s="317"/>
      <c r="L274" s="317"/>
      <c r="M274" s="317"/>
      <c r="N274" s="317"/>
      <c r="O274" s="317"/>
      <c r="P274" s="317"/>
    </row>
    <row r="275" spans="1:16" ht="15.75" customHeight="1">
      <c r="A275" s="68"/>
      <c r="B275" s="68"/>
      <c r="C275" s="68"/>
      <c r="D275" s="68"/>
      <c r="E275" s="68"/>
      <c r="F275" s="68"/>
      <c r="G275" s="68"/>
      <c r="H275" s="68"/>
      <c r="I275" s="68"/>
      <c r="J275" s="68"/>
      <c r="K275" s="68"/>
      <c r="L275" s="68"/>
      <c r="M275" s="68"/>
      <c r="N275" s="68"/>
      <c r="O275" s="68"/>
      <c r="P275" s="68"/>
    </row>
    <row r="276" spans="1:16" ht="15.75" customHeight="1">
      <c r="A276" s="331"/>
      <c r="B276" s="294"/>
      <c r="C276" s="294"/>
      <c r="D276" s="294"/>
      <c r="E276" s="294"/>
      <c r="F276" s="294"/>
      <c r="G276" s="294"/>
      <c r="H276" s="294"/>
      <c r="I276" s="294"/>
      <c r="J276" s="294"/>
      <c r="K276" s="294"/>
      <c r="L276" s="294"/>
      <c r="M276" s="294"/>
      <c r="N276" s="294"/>
      <c r="O276" s="294"/>
      <c r="P276" s="294"/>
    </row>
    <row r="277" spans="1:16" ht="15.75" customHeight="1">
      <c r="A277" s="294"/>
      <c r="B277" s="294"/>
      <c r="C277" s="294"/>
      <c r="D277" s="294"/>
      <c r="E277" s="294"/>
      <c r="F277" s="294"/>
      <c r="G277" s="294"/>
      <c r="H277" s="294"/>
      <c r="I277" s="294"/>
      <c r="J277" s="294"/>
      <c r="K277" s="294"/>
      <c r="L277" s="294"/>
      <c r="M277" s="294"/>
      <c r="N277" s="294"/>
      <c r="O277" s="294"/>
      <c r="P277" s="294"/>
    </row>
    <row r="278" spans="1:16" ht="15.75" customHeight="1">
      <c r="A278" s="294"/>
      <c r="B278" s="294"/>
      <c r="C278" s="294"/>
      <c r="D278" s="294"/>
      <c r="E278" s="294"/>
      <c r="F278" s="294"/>
      <c r="G278" s="294"/>
      <c r="H278" s="294"/>
      <c r="I278" s="294"/>
      <c r="J278" s="294"/>
      <c r="K278" s="294"/>
      <c r="L278" s="294"/>
      <c r="M278" s="294"/>
      <c r="N278" s="294"/>
      <c r="O278" s="294"/>
      <c r="P278" s="294"/>
    </row>
    <row r="279" spans="1:16" ht="15.75" customHeight="1">
      <c r="A279" s="294"/>
      <c r="B279" s="294"/>
      <c r="C279" s="294"/>
      <c r="D279" s="294"/>
      <c r="E279" s="294"/>
      <c r="F279" s="294"/>
      <c r="G279" s="294"/>
      <c r="H279" s="294"/>
      <c r="I279" s="294"/>
      <c r="J279" s="294"/>
      <c r="K279" s="294"/>
      <c r="L279" s="294"/>
      <c r="M279" s="294"/>
      <c r="N279" s="294"/>
      <c r="O279" s="294"/>
      <c r="P279" s="294"/>
    </row>
    <row r="280" spans="1:16" ht="15.75" customHeight="1">
      <c r="A280" s="294"/>
      <c r="B280" s="294"/>
      <c r="C280" s="294"/>
      <c r="D280" s="294"/>
      <c r="E280" s="294"/>
      <c r="F280" s="294"/>
      <c r="G280" s="294"/>
      <c r="H280" s="294"/>
      <c r="I280" s="294"/>
      <c r="J280" s="294"/>
      <c r="K280" s="294"/>
      <c r="L280" s="294"/>
      <c r="M280" s="294"/>
      <c r="N280" s="294"/>
      <c r="O280" s="294"/>
      <c r="P280" s="294"/>
    </row>
    <row r="281" spans="1:16" ht="15.75" customHeight="1">
      <c r="A281" s="294"/>
      <c r="B281" s="294"/>
      <c r="C281" s="294"/>
      <c r="D281" s="294"/>
      <c r="E281" s="294"/>
      <c r="F281" s="294"/>
      <c r="G281" s="294"/>
      <c r="H281" s="294"/>
      <c r="I281" s="294"/>
      <c r="J281" s="294"/>
      <c r="K281" s="294"/>
      <c r="L281" s="294"/>
      <c r="M281" s="294"/>
      <c r="N281" s="294"/>
      <c r="O281" s="294"/>
      <c r="P281" s="294"/>
    </row>
    <row r="282" spans="1:16" ht="15.75" customHeight="1">
      <c r="A282" s="294"/>
      <c r="B282" s="294"/>
      <c r="C282" s="294"/>
      <c r="D282" s="294"/>
      <c r="E282" s="294"/>
      <c r="F282" s="294"/>
      <c r="G282" s="294"/>
      <c r="H282" s="294"/>
      <c r="I282" s="294"/>
      <c r="J282" s="294"/>
      <c r="K282" s="294"/>
      <c r="L282" s="294"/>
      <c r="M282" s="294"/>
      <c r="N282" s="294"/>
      <c r="O282" s="294"/>
      <c r="P282" s="294"/>
    </row>
    <row r="283" spans="1:16" ht="15.75" customHeight="1">
      <c r="A283" s="294"/>
      <c r="B283" s="294"/>
      <c r="C283" s="294"/>
      <c r="D283" s="294"/>
      <c r="E283" s="294"/>
      <c r="F283" s="294"/>
      <c r="G283" s="294"/>
      <c r="H283" s="294"/>
      <c r="I283" s="294"/>
      <c r="J283" s="294"/>
      <c r="K283" s="294"/>
      <c r="L283" s="294"/>
      <c r="M283" s="294"/>
      <c r="N283" s="294"/>
      <c r="O283" s="294"/>
      <c r="P283" s="294"/>
    </row>
    <row r="284" spans="1:16" ht="15.75" customHeight="1">
      <c r="A284" s="294"/>
      <c r="B284" s="294"/>
      <c r="C284" s="294"/>
      <c r="D284" s="294"/>
      <c r="E284" s="294"/>
      <c r="F284" s="294"/>
      <c r="G284" s="294"/>
      <c r="H284" s="294"/>
      <c r="I284" s="294"/>
      <c r="J284" s="294"/>
      <c r="K284" s="294"/>
      <c r="L284" s="294"/>
      <c r="M284" s="294"/>
      <c r="N284" s="294"/>
      <c r="O284" s="294"/>
      <c r="P284" s="294"/>
    </row>
    <row r="285" spans="1:16" ht="15.75" customHeight="1">
      <c r="A285" s="294"/>
      <c r="B285" s="294"/>
      <c r="C285" s="294"/>
      <c r="D285" s="294"/>
      <c r="E285" s="294"/>
      <c r="F285" s="294"/>
      <c r="G285" s="294"/>
      <c r="H285" s="294"/>
      <c r="I285" s="294"/>
      <c r="J285" s="294"/>
      <c r="K285" s="294"/>
      <c r="L285" s="294"/>
      <c r="M285" s="294"/>
      <c r="N285" s="294"/>
      <c r="O285" s="294"/>
      <c r="P285" s="294"/>
    </row>
    <row r="286" spans="1:16" ht="15.75" customHeight="1">
      <c r="A286" s="294"/>
      <c r="B286" s="294"/>
      <c r="C286" s="294"/>
      <c r="D286" s="294"/>
      <c r="E286" s="294"/>
      <c r="F286" s="294"/>
      <c r="G286" s="294"/>
      <c r="H286" s="294"/>
      <c r="I286" s="294"/>
      <c r="J286" s="294"/>
      <c r="K286" s="294"/>
      <c r="L286" s="294"/>
      <c r="M286" s="294"/>
      <c r="N286" s="294"/>
      <c r="O286" s="294"/>
      <c r="P286" s="294"/>
    </row>
    <row r="287" spans="1:16" ht="15.75" customHeight="1">
      <c r="A287" s="294"/>
      <c r="B287" s="294"/>
      <c r="C287" s="294"/>
      <c r="D287" s="294"/>
      <c r="E287" s="294"/>
      <c r="F287" s="294"/>
      <c r="G287" s="294"/>
      <c r="H287" s="294"/>
      <c r="I287" s="294"/>
      <c r="J287" s="294"/>
      <c r="K287" s="294"/>
      <c r="L287" s="294"/>
      <c r="M287" s="294"/>
      <c r="N287" s="294"/>
      <c r="O287" s="294"/>
      <c r="P287" s="294"/>
    </row>
    <row r="288" spans="1:16" ht="15.75" customHeight="1">
      <c r="A288" s="294"/>
      <c r="B288" s="294"/>
      <c r="C288" s="294"/>
      <c r="D288" s="294"/>
      <c r="E288" s="294"/>
      <c r="F288" s="294"/>
      <c r="G288" s="294"/>
      <c r="H288" s="294"/>
      <c r="I288" s="294"/>
      <c r="J288" s="294"/>
      <c r="K288" s="294"/>
      <c r="L288" s="294"/>
      <c r="M288" s="294"/>
      <c r="N288" s="294"/>
      <c r="O288" s="294"/>
      <c r="P288" s="294"/>
    </row>
    <row r="289" spans="1:16" ht="15.75" customHeight="1">
      <c r="A289" s="294"/>
      <c r="B289" s="294"/>
      <c r="C289" s="294"/>
      <c r="D289" s="294"/>
      <c r="E289" s="294"/>
      <c r="F289" s="294"/>
      <c r="G289" s="294"/>
      <c r="H289" s="294"/>
      <c r="I289" s="294"/>
      <c r="J289" s="294"/>
      <c r="K289" s="294"/>
      <c r="L289" s="294"/>
      <c r="M289" s="294"/>
      <c r="N289" s="294"/>
      <c r="O289" s="294"/>
      <c r="P289" s="294"/>
    </row>
    <row r="290" spans="1:16" ht="15.75" customHeight="1">
      <c r="A290" s="68"/>
      <c r="B290" s="68"/>
      <c r="C290" s="68"/>
      <c r="D290" s="68"/>
      <c r="E290" s="68"/>
      <c r="F290" s="68"/>
      <c r="G290" s="68"/>
      <c r="H290" s="68"/>
      <c r="I290" s="68"/>
      <c r="J290" s="68"/>
      <c r="K290" s="68"/>
      <c r="L290" s="68"/>
      <c r="M290" s="68"/>
      <c r="N290" s="68"/>
      <c r="O290" s="68"/>
      <c r="P290" s="68"/>
    </row>
    <row r="291" spans="1:16" ht="15.75" customHeight="1">
      <c r="A291" s="68"/>
      <c r="B291" s="68"/>
      <c r="C291" s="68"/>
      <c r="D291" s="68"/>
      <c r="E291" s="68"/>
      <c r="F291" s="68"/>
      <c r="G291" s="68"/>
      <c r="H291" s="68"/>
      <c r="I291" s="68"/>
      <c r="J291" s="68"/>
      <c r="K291" s="68"/>
      <c r="L291" s="68"/>
      <c r="M291" s="68"/>
      <c r="N291" s="68"/>
      <c r="O291" s="68"/>
      <c r="P291" s="68"/>
    </row>
    <row r="292" spans="1:16" ht="15.75" customHeight="1">
      <c r="A292" s="68"/>
      <c r="B292" s="68"/>
      <c r="C292" s="68"/>
      <c r="D292" s="68"/>
      <c r="E292" s="68"/>
      <c r="F292" s="68"/>
      <c r="G292" s="68"/>
      <c r="H292" s="68"/>
      <c r="I292" s="68"/>
      <c r="J292" s="68"/>
      <c r="K292" s="68"/>
      <c r="L292" s="68"/>
      <c r="M292" s="68"/>
      <c r="N292" s="68"/>
      <c r="O292" s="68"/>
      <c r="P292" s="68"/>
    </row>
    <row r="293" spans="1:16" ht="15.75" customHeight="1">
      <c r="A293" s="68"/>
      <c r="B293" s="68"/>
      <c r="C293" s="68"/>
      <c r="D293" s="68"/>
      <c r="E293" s="68"/>
      <c r="F293" s="68"/>
      <c r="G293" s="68"/>
      <c r="H293" s="68"/>
      <c r="I293" s="68"/>
      <c r="J293" s="68"/>
      <c r="K293" s="68"/>
      <c r="L293" s="68"/>
      <c r="M293" s="68"/>
      <c r="N293" s="68"/>
      <c r="O293" s="68"/>
      <c r="P293" s="68"/>
    </row>
    <row r="294" spans="1:16" ht="15.75" customHeight="1">
      <c r="A294" s="68"/>
      <c r="B294" s="68"/>
      <c r="C294" s="68"/>
      <c r="D294" s="68"/>
      <c r="E294" s="68"/>
      <c r="F294" s="68"/>
      <c r="G294" s="68"/>
      <c r="H294" s="68"/>
      <c r="I294" s="68"/>
      <c r="J294" s="68"/>
      <c r="K294" s="68"/>
      <c r="L294" s="68"/>
      <c r="M294" s="68"/>
      <c r="N294" s="68"/>
      <c r="O294" s="68"/>
      <c r="P294" s="68"/>
    </row>
    <row r="295" spans="1:16" ht="15.75" customHeight="1">
      <c r="A295" s="68"/>
      <c r="B295" s="68"/>
      <c r="C295" s="68"/>
      <c r="D295" s="68"/>
      <c r="E295" s="68"/>
      <c r="F295" s="68"/>
      <c r="G295" s="68"/>
      <c r="H295" s="68"/>
      <c r="I295" s="68"/>
      <c r="J295" s="68"/>
      <c r="K295" s="68"/>
      <c r="L295" s="68"/>
      <c r="M295" s="68"/>
      <c r="N295" s="68"/>
      <c r="O295" s="68"/>
      <c r="P295" s="68"/>
    </row>
    <row r="296" spans="1:16" ht="15.75" customHeight="1">
      <c r="A296" s="68"/>
      <c r="B296" s="68"/>
      <c r="C296" s="68"/>
      <c r="D296" s="68"/>
      <c r="E296" s="68"/>
      <c r="F296" s="68"/>
      <c r="G296" s="68"/>
      <c r="H296" s="68"/>
      <c r="I296" s="68"/>
      <c r="J296" s="68"/>
      <c r="K296" s="68"/>
      <c r="L296" s="68"/>
      <c r="M296" s="68"/>
      <c r="N296" s="68"/>
      <c r="O296" s="68"/>
      <c r="P296" s="68"/>
    </row>
    <row r="297" spans="1:16" ht="15.75" customHeight="1">
      <c r="A297" s="68"/>
      <c r="B297" s="68"/>
      <c r="C297" s="68"/>
      <c r="D297" s="68"/>
      <c r="E297" s="68"/>
      <c r="F297" s="68"/>
      <c r="G297" s="68"/>
      <c r="H297" s="68"/>
      <c r="I297" s="68"/>
      <c r="J297" s="68"/>
      <c r="K297" s="68"/>
      <c r="L297" s="68"/>
      <c r="M297" s="68"/>
      <c r="N297" s="68"/>
      <c r="O297" s="68"/>
      <c r="P297" s="68"/>
    </row>
    <row r="298" spans="1:16" ht="15.75" customHeight="1">
      <c r="A298" s="68"/>
      <c r="B298" s="68"/>
      <c r="C298" s="68"/>
      <c r="D298" s="68"/>
      <c r="E298" s="68"/>
      <c r="F298" s="68"/>
      <c r="G298" s="68"/>
      <c r="H298" s="68"/>
      <c r="I298" s="68"/>
      <c r="J298" s="68"/>
      <c r="K298" s="68"/>
      <c r="L298" s="68"/>
      <c r="M298" s="68"/>
      <c r="N298" s="68"/>
      <c r="O298" s="68"/>
      <c r="P298" s="68"/>
    </row>
    <row r="299" spans="1:16" ht="15.75" customHeight="1">
      <c r="A299" s="68"/>
      <c r="B299" s="68"/>
      <c r="C299" s="68"/>
      <c r="D299" s="68"/>
      <c r="E299" s="68"/>
      <c r="F299" s="68"/>
      <c r="G299" s="68"/>
      <c r="H299" s="68"/>
      <c r="I299" s="68"/>
      <c r="J299" s="68"/>
      <c r="K299" s="68"/>
      <c r="L299" s="68"/>
      <c r="M299" s="68"/>
      <c r="N299" s="68"/>
      <c r="O299" s="68"/>
      <c r="P299" s="68"/>
    </row>
    <row r="300" spans="1:16" ht="15.75" customHeight="1">
      <c r="A300" s="68"/>
      <c r="B300" s="68"/>
      <c r="C300" s="68"/>
      <c r="D300" s="68"/>
      <c r="E300" s="68"/>
      <c r="F300" s="68"/>
      <c r="G300" s="68"/>
      <c r="H300" s="68"/>
      <c r="I300" s="68"/>
      <c r="J300" s="68"/>
      <c r="K300" s="68"/>
      <c r="L300" s="68"/>
      <c r="M300" s="68"/>
      <c r="N300" s="68"/>
      <c r="O300" s="68"/>
      <c r="P300" s="68"/>
    </row>
    <row r="301" spans="1:16" ht="15.75" customHeight="1">
      <c r="A301" s="68"/>
      <c r="B301" s="68"/>
      <c r="C301" s="68"/>
      <c r="D301" s="68"/>
      <c r="E301" s="68"/>
      <c r="F301" s="68"/>
      <c r="G301" s="68"/>
      <c r="H301" s="68"/>
      <c r="I301" s="68"/>
      <c r="J301" s="68"/>
      <c r="K301" s="68"/>
      <c r="L301" s="68"/>
      <c r="M301" s="68"/>
      <c r="N301" s="68"/>
      <c r="O301" s="68"/>
      <c r="P301" s="68"/>
    </row>
    <row r="302" spans="1:16" ht="15.75" customHeight="1">
      <c r="A302" s="68"/>
      <c r="B302" s="68"/>
      <c r="C302" s="68"/>
      <c r="D302" s="68"/>
      <c r="E302" s="68"/>
      <c r="F302" s="68"/>
      <c r="G302" s="68"/>
      <c r="H302" s="68"/>
      <c r="I302" s="68"/>
      <c r="J302" s="68"/>
      <c r="K302" s="68"/>
      <c r="L302" s="68"/>
      <c r="M302" s="68"/>
      <c r="N302" s="68"/>
      <c r="O302" s="68"/>
      <c r="P302" s="68"/>
    </row>
    <row r="303" spans="1:16" ht="15.75" customHeight="1">
      <c r="A303" s="68"/>
      <c r="B303" s="68"/>
      <c r="C303" s="68"/>
      <c r="D303" s="68"/>
      <c r="E303" s="68"/>
      <c r="F303" s="68"/>
      <c r="G303" s="68"/>
      <c r="H303" s="68"/>
      <c r="I303" s="68"/>
      <c r="J303" s="68"/>
      <c r="K303" s="68"/>
      <c r="L303" s="68"/>
      <c r="M303" s="68"/>
      <c r="N303" s="68"/>
      <c r="O303" s="68"/>
      <c r="P303" s="68"/>
    </row>
    <row r="304" spans="1:16" ht="15.75" customHeight="1">
      <c r="A304" s="392" t="s">
        <v>384</v>
      </c>
      <c r="B304" s="294"/>
      <c r="C304" s="294"/>
      <c r="D304" s="294"/>
      <c r="E304" s="294"/>
      <c r="F304" s="294"/>
      <c r="G304" s="294"/>
      <c r="H304" s="294"/>
      <c r="I304" s="294"/>
      <c r="J304" s="294"/>
      <c r="K304" s="294"/>
      <c r="L304" s="294"/>
      <c r="M304" s="294"/>
      <c r="N304" s="294"/>
      <c r="O304" s="294"/>
      <c r="P304" s="294"/>
    </row>
    <row r="305" spans="1:16" ht="15.75" customHeight="1">
      <c r="A305" s="294"/>
      <c r="B305" s="294"/>
      <c r="C305" s="294"/>
      <c r="D305" s="294"/>
      <c r="E305" s="294"/>
      <c r="F305" s="294"/>
      <c r="G305" s="294"/>
      <c r="H305" s="294"/>
      <c r="I305" s="294"/>
      <c r="J305" s="294"/>
      <c r="K305" s="294"/>
      <c r="L305" s="294"/>
      <c r="M305" s="294"/>
      <c r="N305" s="294"/>
      <c r="O305" s="294"/>
      <c r="P305" s="294"/>
    </row>
    <row r="306" spans="1:16" ht="15.75" customHeight="1">
      <c r="A306" s="350" t="s">
        <v>385</v>
      </c>
      <c r="B306" s="319"/>
      <c r="C306" s="319"/>
      <c r="D306" s="431" t="str">
        <f>$D$100</f>
        <v>Av1</v>
      </c>
      <c r="E306" s="319"/>
      <c r="F306" s="432" t="s">
        <v>39</v>
      </c>
      <c r="G306" s="431" t="str">
        <f ca="1">$G$100</f>
        <v>Av13</v>
      </c>
      <c r="H306" s="319"/>
      <c r="I306" s="432" t="s">
        <v>39</v>
      </c>
      <c r="J306" s="431" t="str">
        <f ca="1">$J$100</f>
        <v>Av14</v>
      </c>
      <c r="K306" s="319"/>
      <c r="L306" s="432" t="s">
        <v>39</v>
      </c>
      <c r="M306" s="431" t="str">
        <f ca="1">$M$100</f>
        <v>Av15</v>
      </c>
      <c r="N306" s="319"/>
      <c r="O306" s="431" t="s">
        <v>356</v>
      </c>
      <c r="P306" s="319"/>
    </row>
    <row r="307" spans="1:16" ht="15.75" customHeight="1">
      <c r="A307" s="317"/>
      <c r="B307" s="317"/>
      <c r="C307" s="317"/>
      <c r="D307" s="365">
        <f ca="1">OFFSET(BD!$A$2,,MATCH(D306,BD!$B$1:$P$1,0))</f>
        <v>44517</v>
      </c>
      <c r="E307" s="317"/>
      <c r="F307" s="317"/>
      <c r="G307" s="365">
        <f ca="1">OFFSET(BD!$A$2,,MATCH(G306,BD!$B$1:$P$1,0))</f>
        <v>0</v>
      </c>
      <c r="H307" s="317"/>
      <c r="I307" s="317"/>
      <c r="J307" s="365">
        <f ca="1">OFFSET(BD!$A$2,,MATCH(J306,BD!$B$1:$P$1,0))</f>
        <v>0</v>
      </c>
      <c r="K307" s="317"/>
      <c r="L307" s="317"/>
      <c r="M307" s="365">
        <f ca="1">OFFSET(BD!$A$2,,MATCH(M306,BD!$B$1:$P$1,0))</f>
        <v>0</v>
      </c>
      <c r="N307" s="317"/>
      <c r="O307" s="317"/>
      <c r="P307" s="317"/>
    </row>
    <row r="308" spans="1:16" ht="15.75" customHeight="1">
      <c r="A308" s="339" t="s">
        <v>386</v>
      </c>
      <c r="B308" s="294"/>
      <c r="C308" s="294"/>
      <c r="D308" s="468">
        <f ca="1">OFFSET(BD!$A64,0,MATCH(D$306,BD!$B$1:$P$1,0))</f>
        <v>18.899999999999999</v>
      </c>
      <c r="E308" s="294"/>
      <c r="F308" s="434" t="str">
        <f ca="1">IF(OR(D308="-",G308="-"),"-",(G308-D308)*100/D308)</f>
        <v>-</v>
      </c>
      <c r="G308" s="468" t="str">
        <f ca="1">OFFSET(BD!$A64,0,MATCH(G$306,BD!$B$1:$P$1,0))</f>
        <v>-</v>
      </c>
      <c r="H308" s="294"/>
      <c r="I308" s="434" t="str">
        <f ca="1">IF(OR(G308="-",J308="-"),"-",(J308-G308)*100/G308)</f>
        <v>-</v>
      </c>
      <c r="J308" s="331" t="str">
        <f ca="1">OFFSET(BD!$A64,0,MATCH(J$306,BD!$B$1:$P$1,0))</f>
        <v>-</v>
      </c>
      <c r="K308" s="294"/>
      <c r="L308" s="434" t="str">
        <f ca="1">IF(OR(J308="-",M308="-"),"-",(M308-J308)*100/J308)</f>
        <v>-</v>
      </c>
      <c r="M308" s="331" t="str">
        <f ca="1">OFFSET(BD!$A64,0,MATCH(M$306,BD!$B$1:$P$1,0))</f>
        <v>-</v>
      </c>
      <c r="N308" s="294"/>
      <c r="O308" s="468" t="e">
        <f ca="1">'BD tratado'!D64</f>
        <v>#NAME?</v>
      </c>
      <c r="P308" s="294"/>
    </row>
    <row r="309" spans="1:16" ht="15.75" customHeight="1">
      <c r="A309" s="294"/>
      <c r="B309" s="294"/>
      <c r="C309" s="294"/>
      <c r="D309" s="294"/>
      <c r="E309" s="294"/>
      <c r="F309" s="294"/>
      <c r="G309" s="294"/>
      <c r="H309" s="294"/>
      <c r="I309" s="294"/>
      <c r="J309" s="294"/>
      <c r="K309" s="294"/>
      <c r="L309" s="294"/>
      <c r="M309" s="294"/>
      <c r="N309" s="294"/>
      <c r="O309" s="294"/>
      <c r="P309" s="294"/>
    </row>
    <row r="310" spans="1:16" ht="15.75" customHeight="1">
      <c r="A310" s="339" t="s">
        <v>387</v>
      </c>
      <c r="B310" s="294"/>
      <c r="C310" s="294"/>
      <c r="D310" s="367">
        <f ca="1">OFFSET(BD!$A68,0,MATCH(D$306,BD!$B$1:$P$1,0))</f>
        <v>20.6</v>
      </c>
      <c r="E310" s="294"/>
      <c r="F310" s="434" t="str">
        <f ca="1">IF(OR(D310="-",G310="-"),"-",(G310-D310)*100/D310)</f>
        <v>-</v>
      </c>
      <c r="G310" s="367" t="str">
        <f ca="1">OFFSET(BD!$A68,0,MATCH(G$306,BD!$B$1:$P$1,0))</f>
        <v>-</v>
      </c>
      <c r="H310" s="294"/>
      <c r="I310" s="434" t="str">
        <f ca="1">IF(OR(G310="-",J310="-"),"-",(J310-G310)*100/G310)</f>
        <v>-</v>
      </c>
      <c r="J310" s="356" t="str">
        <f ca="1">OFFSET(BD!$A68,0,MATCH(J$306,BD!$B$1:$P$1,0))</f>
        <v>-</v>
      </c>
      <c r="K310" s="294"/>
      <c r="L310" s="434" t="str">
        <f ca="1">IF(OR(J310="-",M310="-"),"-",(M310-J310)*100/J310)</f>
        <v>-</v>
      </c>
      <c r="M310" s="356" t="str">
        <f ca="1">OFFSET(BD!$A68,0,MATCH(M$306,BD!$B$1:$P$1,0))</f>
        <v>-</v>
      </c>
      <c r="N310" s="294"/>
      <c r="O310" s="468" t="e">
        <f ca="1">'BD tratado'!D68</f>
        <v>#NAME?</v>
      </c>
      <c r="P310" s="294"/>
    </row>
    <row r="311" spans="1:16" ht="15.75" customHeight="1">
      <c r="A311" s="294"/>
      <c r="B311" s="294"/>
      <c r="C311" s="294"/>
      <c r="D311" s="294"/>
      <c r="E311" s="294"/>
      <c r="F311" s="294"/>
      <c r="G311" s="294"/>
      <c r="H311" s="294"/>
      <c r="I311" s="294"/>
      <c r="J311" s="294"/>
      <c r="K311" s="294"/>
      <c r="L311" s="294"/>
      <c r="M311" s="294"/>
      <c r="N311" s="294"/>
      <c r="O311" s="294"/>
      <c r="P311" s="294"/>
    </row>
    <row r="312" spans="1:16" ht="15.75" customHeight="1">
      <c r="A312" s="339" t="s">
        <v>388</v>
      </c>
      <c r="B312" s="294"/>
      <c r="C312" s="294"/>
      <c r="D312" s="367">
        <f ca="1">OFFSET(BD!$A69,0,MATCH(D$306,BD!$B$1:$P$1,0))</f>
        <v>39.5</v>
      </c>
      <c r="E312" s="294"/>
      <c r="F312" s="434" t="e">
        <f ca="1">IF(OR(D312="-",G312="-"),"-",(G312-D312)*100/D312)</f>
        <v>#VALUE!</v>
      </c>
      <c r="G312" s="367" t="e">
        <f ca="1">OFFSET(BD!$A69,0,MATCH(G$306,BD!$B$1:$P$1,0))</f>
        <v>#VALUE!</v>
      </c>
      <c r="H312" s="294"/>
      <c r="I312" s="434" t="e">
        <f ca="1">IF(OR(G312="-",J312="-"),"-",(J312-G312)*100/G312)</f>
        <v>#VALUE!</v>
      </c>
      <c r="J312" s="367" t="e">
        <f ca="1">OFFSET(BD!$A69,0,MATCH(J$306,BD!$B$1:$P$1,0))</f>
        <v>#VALUE!</v>
      </c>
      <c r="K312" s="294"/>
      <c r="L312" s="434" t="e">
        <f ca="1">IF(OR(J312="-",M312="-"),"-",(M312-J312)*100/J312)</f>
        <v>#VALUE!</v>
      </c>
      <c r="M312" s="367" t="e">
        <f ca="1">OFFSET(BD!$A69,0,MATCH(M$306,BD!$B$1:$P$1,0))</f>
        <v>#VALUE!</v>
      </c>
      <c r="N312" s="294"/>
      <c r="O312" s="468" t="e">
        <f ca="1">'BD tratado'!D69</f>
        <v>#NAME?</v>
      </c>
      <c r="P312" s="294"/>
    </row>
    <row r="313" spans="1:16" ht="15.75" customHeight="1">
      <c r="A313" s="294"/>
      <c r="B313" s="294"/>
      <c r="C313" s="294"/>
      <c r="D313" s="294"/>
      <c r="E313" s="294"/>
      <c r="F313" s="294"/>
      <c r="G313" s="294"/>
      <c r="H313" s="294"/>
      <c r="I313" s="294"/>
      <c r="J313" s="294"/>
      <c r="K313" s="294"/>
      <c r="L313" s="294"/>
      <c r="M313" s="294"/>
      <c r="N313" s="294"/>
      <c r="O313" s="294"/>
      <c r="P313" s="294"/>
    </row>
    <row r="314" spans="1:16" ht="15.75" customHeight="1">
      <c r="A314" s="339" t="s">
        <v>389</v>
      </c>
      <c r="B314" s="294"/>
      <c r="C314" s="294"/>
      <c r="D314" s="367">
        <f ca="1">OFFSET(BD!$A79,0,MATCH(D$306,BD!$B$1:$P$1,0))</f>
        <v>4.2</v>
      </c>
      <c r="E314" s="294"/>
      <c r="F314" s="434" t="str">
        <f ca="1">IF(OR(D314="-",G314="-"),"-",(G314-D314)*100/D314)</f>
        <v>-</v>
      </c>
      <c r="G314" s="367" t="str">
        <f ca="1">OFFSET(BD!$A79,0,MATCH(G$306,BD!$B$1:$P$1,0))</f>
        <v>-</v>
      </c>
      <c r="H314" s="294"/>
      <c r="I314" s="434" t="str">
        <f ca="1">IF(OR(G314="-",J314="-"),"-",(J314-G314)*100/G314)</f>
        <v>-</v>
      </c>
      <c r="J314" s="367" t="str">
        <f ca="1">OFFSET(BD!$A79,0,MATCH(J$306,BD!$B$1:$P$1,0))</f>
        <v>-</v>
      </c>
      <c r="K314" s="294"/>
      <c r="L314" s="434" t="str">
        <f ca="1">IF(OR(J314="-",M314="-"),"-",(M314-J314)*100/J314)</f>
        <v>-</v>
      </c>
      <c r="M314" s="367" t="str">
        <f ca="1">OFFSET(BD!$A79,0,MATCH(M$306,BD!$B$1:$P$1,0))</f>
        <v>-</v>
      </c>
      <c r="N314" s="294"/>
      <c r="O314" s="468" t="e">
        <f ca="1">'BD tratado'!D79</f>
        <v>#NAME?</v>
      </c>
      <c r="P314" s="294"/>
    </row>
    <row r="315" spans="1:16" ht="15.75" customHeight="1">
      <c r="A315" s="294"/>
      <c r="B315" s="294"/>
      <c r="C315" s="294"/>
      <c r="D315" s="294"/>
      <c r="E315" s="294"/>
      <c r="F315" s="294"/>
      <c r="G315" s="294"/>
      <c r="H315" s="294"/>
      <c r="I315" s="294"/>
      <c r="J315" s="294"/>
      <c r="K315" s="294"/>
      <c r="L315" s="294"/>
      <c r="M315" s="294"/>
      <c r="N315" s="294"/>
      <c r="O315" s="294"/>
      <c r="P315" s="294"/>
    </row>
    <row r="316" spans="1:16" ht="15.75" customHeight="1">
      <c r="A316" s="339" t="s">
        <v>390</v>
      </c>
      <c r="B316" s="294"/>
      <c r="C316" s="294"/>
      <c r="D316" s="367">
        <f ca="1">OFFSET(BD!$A89,0,MATCH(D$306,BD!$B$1:$P$1,0))</f>
        <v>5.4</v>
      </c>
      <c r="E316" s="294"/>
      <c r="F316" s="434" t="str">
        <f ca="1">IF(OR(D316="-",G316="-"),"-",(G316-D316)*100/D316)</f>
        <v>-</v>
      </c>
      <c r="G316" s="367" t="str">
        <f ca="1">OFFSET(BD!$A89,0,MATCH(G$306,BD!$B$1:$P$1,0))</f>
        <v>-</v>
      </c>
      <c r="H316" s="294"/>
      <c r="I316" s="434" t="str">
        <f ca="1">IF(OR(G316="-",J316="-"),"-",(J316-G316)*100/G316)</f>
        <v>-</v>
      </c>
      <c r="J316" s="367" t="str">
        <f ca="1">OFFSET(BD!$A89,0,MATCH(J$306,BD!$B$1:$P$1,0))</f>
        <v>-</v>
      </c>
      <c r="K316" s="294"/>
      <c r="L316" s="434" t="str">
        <f ca="1">IF(OR(J316="-",M316="-"),"-",(M316-J316)*100/J316)</f>
        <v>-</v>
      </c>
      <c r="M316" s="367" t="str">
        <f ca="1">OFFSET(BD!$A89,0,MATCH(M$306,BD!$B$1:$P$1,0))</f>
        <v>-</v>
      </c>
      <c r="N316" s="294"/>
      <c r="O316" s="468" t="e">
        <f ca="1">'BD tratado'!D89</f>
        <v>#NAME?</v>
      </c>
      <c r="P316" s="294"/>
    </row>
    <row r="317" spans="1:16" ht="15.75" customHeight="1">
      <c r="A317" s="294"/>
      <c r="B317" s="294"/>
      <c r="C317" s="294"/>
      <c r="D317" s="294"/>
      <c r="E317" s="294"/>
      <c r="F317" s="294"/>
      <c r="G317" s="294"/>
      <c r="H317" s="294"/>
      <c r="I317" s="294"/>
      <c r="J317" s="294"/>
      <c r="K317" s="294"/>
      <c r="L317" s="294"/>
      <c r="M317" s="294"/>
      <c r="N317" s="294"/>
      <c r="O317" s="294"/>
      <c r="P317" s="294"/>
    </row>
    <row r="318" spans="1:16" ht="15.75" customHeight="1">
      <c r="A318" s="339" t="s">
        <v>391</v>
      </c>
      <c r="B318" s="294"/>
      <c r="C318" s="294"/>
      <c r="D318" s="468">
        <f ca="1">OFFSET(BD!$A99,0,MATCH(D$306,BD!$B$1:$P$1,0))</f>
        <v>5.8</v>
      </c>
      <c r="E318" s="294"/>
      <c r="F318" s="434" t="str">
        <f ca="1">IF(OR(D318="-",G318="-"),"-",(G318-D318)*100/D318)</f>
        <v>-</v>
      </c>
      <c r="G318" s="468" t="str">
        <f ca="1">OFFSET(BD!$A99,0,MATCH(G$306,BD!$B$1:$P$1,0))</f>
        <v>-</v>
      </c>
      <c r="H318" s="294"/>
      <c r="I318" s="434" t="str">
        <f ca="1">IF(OR(G318="-",J318="-"),"-",(J318-G318)*100/G318)</f>
        <v>-</v>
      </c>
      <c r="J318" s="468" t="str">
        <f ca="1">OFFSET(BD!$A99,0,MATCH(J$306,BD!$B$1:$P$1,0))</f>
        <v>-</v>
      </c>
      <c r="K318" s="294"/>
      <c r="L318" s="434" t="str">
        <f ca="1">IF(OR(J318="-",M318="-"),"-",(M318-J318)*100/J318)</f>
        <v>-</v>
      </c>
      <c r="M318" s="468" t="str">
        <f ca="1">OFFSET(BD!$A99,0,MATCH(M$306,BD!$B$1:$P$1,0))</f>
        <v>-</v>
      </c>
      <c r="N318" s="294"/>
      <c r="O318" s="468" t="e">
        <f ca="1">'BD tratado'!D99</f>
        <v>#NAME?</v>
      </c>
      <c r="P318" s="294"/>
    </row>
    <row r="319" spans="1:16" ht="15.75" customHeight="1">
      <c r="A319" s="317"/>
      <c r="B319" s="317"/>
      <c r="C319" s="317"/>
      <c r="D319" s="317"/>
      <c r="E319" s="317"/>
      <c r="F319" s="317"/>
      <c r="G319" s="317"/>
      <c r="H319" s="317"/>
      <c r="I319" s="317"/>
      <c r="J319" s="317"/>
      <c r="K319" s="317"/>
      <c r="L319" s="317"/>
      <c r="M319" s="317"/>
      <c r="N319" s="317"/>
      <c r="O319" s="317"/>
      <c r="P319" s="317"/>
    </row>
    <row r="321" spans="1:16" ht="15.75" customHeight="1">
      <c r="A321" s="331"/>
      <c r="B321" s="294"/>
      <c r="C321" s="294"/>
      <c r="D321" s="294"/>
      <c r="E321" s="294"/>
      <c r="F321" s="294"/>
      <c r="G321" s="294"/>
      <c r="H321" s="294"/>
      <c r="I321" s="294"/>
      <c r="J321" s="294"/>
      <c r="K321" s="294"/>
      <c r="L321" s="294"/>
      <c r="M321" s="294"/>
      <c r="N321" s="294"/>
      <c r="O321" s="294"/>
      <c r="P321" s="294"/>
    </row>
    <row r="322" spans="1:16" ht="15.75" customHeight="1">
      <c r="A322" s="294"/>
      <c r="B322" s="294"/>
      <c r="C322" s="294"/>
      <c r="D322" s="294"/>
      <c r="E322" s="294"/>
      <c r="F322" s="294"/>
      <c r="G322" s="294"/>
      <c r="H322" s="294"/>
      <c r="I322" s="294"/>
      <c r="J322" s="294"/>
      <c r="K322" s="294"/>
      <c r="L322" s="294"/>
      <c r="M322" s="294"/>
      <c r="N322" s="294"/>
      <c r="O322" s="294"/>
      <c r="P322" s="294"/>
    </row>
    <row r="323" spans="1:16" ht="15.75" customHeight="1">
      <c r="A323" s="294"/>
      <c r="B323" s="294"/>
      <c r="C323" s="294"/>
      <c r="D323" s="294"/>
      <c r="E323" s="294"/>
      <c r="F323" s="294"/>
      <c r="G323" s="294"/>
      <c r="H323" s="294"/>
      <c r="I323" s="294"/>
      <c r="J323" s="294"/>
      <c r="K323" s="294"/>
      <c r="L323" s="294"/>
      <c r="M323" s="294"/>
      <c r="N323" s="294"/>
      <c r="O323" s="294"/>
      <c r="P323" s="294"/>
    </row>
    <row r="324" spans="1:16" ht="15.75" customHeight="1">
      <c r="A324" s="294"/>
      <c r="B324" s="294"/>
      <c r="C324" s="294"/>
      <c r="D324" s="294"/>
      <c r="E324" s="294"/>
      <c r="F324" s="294"/>
      <c r="G324" s="294"/>
      <c r="H324" s="294"/>
      <c r="I324" s="294"/>
      <c r="J324" s="294"/>
      <c r="K324" s="294"/>
      <c r="L324" s="294"/>
      <c r="M324" s="294"/>
      <c r="N324" s="294"/>
      <c r="O324" s="294"/>
      <c r="P324" s="294"/>
    </row>
    <row r="325" spans="1:16" ht="15.75" customHeight="1">
      <c r="A325" s="294"/>
      <c r="B325" s="294"/>
      <c r="C325" s="294"/>
      <c r="D325" s="294"/>
      <c r="E325" s="294"/>
      <c r="F325" s="294"/>
      <c r="G325" s="294"/>
      <c r="H325" s="294"/>
      <c r="I325" s="294"/>
      <c r="J325" s="294"/>
      <c r="K325" s="294"/>
      <c r="L325" s="294"/>
      <c r="M325" s="294"/>
      <c r="N325" s="294"/>
      <c r="O325" s="294"/>
      <c r="P325" s="294"/>
    </row>
    <row r="326" spans="1:16" ht="15.75" customHeight="1">
      <c r="A326" s="294"/>
      <c r="B326" s="294"/>
      <c r="C326" s="294"/>
      <c r="D326" s="294"/>
      <c r="E326" s="294"/>
      <c r="F326" s="294"/>
      <c r="G326" s="294"/>
      <c r="H326" s="294"/>
      <c r="I326" s="294"/>
      <c r="J326" s="294"/>
      <c r="K326" s="294"/>
      <c r="L326" s="294"/>
      <c r="M326" s="294"/>
      <c r="N326" s="294"/>
      <c r="O326" s="294"/>
      <c r="P326" s="294"/>
    </row>
    <row r="327" spans="1:16" ht="15.75" customHeight="1">
      <c r="A327" s="294"/>
      <c r="B327" s="294"/>
      <c r="C327" s="294"/>
      <c r="D327" s="294"/>
      <c r="E327" s="294"/>
      <c r="F327" s="294"/>
      <c r="G327" s="294"/>
      <c r="H327" s="294"/>
      <c r="I327" s="294"/>
      <c r="J327" s="294"/>
      <c r="K327" s="294"/>
      <c r="L327" s="294"/>
      <c r="M327" s="294"/>
      <c r="N327" s="294"/>
      <c r="O327" s="294"/>
      <c r="P327" s="294"/>
    </row>
    <row r="328" spans="1:16" ht="15.75" customHeight="1">
      <c r="A328" s="294"/>
      <c r="B328" s="294"/>
      <c r="C328" s="294"/>
      <c r="D328" s="294"/>
      <c r="E328" s="294"/>
      <c r="F328" s="294"/>
      <c r="G328" s="294"/>
      <c r="H328" s="294"/>
      <c r="I328" s="294"/>
      <c r="J328" s="294"/>
      <c r="K328" s="294"/>
      <c r="L328" s="294"/>
      <c r="M328" s="294"/>
      <c r="N328" s="294"/>
      <c r="O328" s="294"/>
      <c r="P328" s="294"/>
    </row>
    <row r="329" spans="1:16" ht="15.75" customHeight="1">
      <c r="A329" s="294"/>
      <c r="B329" s="294"/>
      <c r="C329" s="294"/>
      <c r="D329" s="294"/>
      <c r="E329" s="294"/>
      <c r="F329" s="294"/>
      <c r="G329" s="294"/>
      <c r="H329" s="294"/>
      <c r="I329" s="294"/>
      <c r="J329" s="294"/>
      <c r="K329" s="294"/>
      <c r="L329" s="294"/>
      <c r="M329" s="294"/>
      <c r="N329" s="294"/>
      <c r="O329" s="294"/>
      <c r="P329" s="294"/>
    </row>
    <row r="330" spans="1:16" ht="15.75" customHeight="1">
      <c r="A330" s="294"/>
      <c r="B330" s="294"/>
      <c r="C330" s="294"/>
      <c r="D330" s="294"/>
      <c r="E330" s="294"/>
      <c r="F330" s="294"/>
      <c r="G330" s="294"/>
      <c r="H330" s="294"/>
      <c r="I330" s="294"/>
      <c r="J330" s="294"/>
      <c r="K330" s="294"/>
      <c r="L330" s="294"/>
      <c r="M330" s="294"/>
      <c r="N330" s="294"/>
      <c r="O330" s="294"/>
      <c r="P330" s="294"/>
    </row>
    <row r="331" spans="1:16" ht="15.75" customHeight="1">
      <c r="A331" s="294"/>
      <c r="B331" s="294"/>
      <c r="C331" s="294"/>
      <c r="D331" s="294"/>
      <c r="E331" s="294"/>
      <c r="F331" s="294"/>
      <c r="G331" s="294"/>
      <c r="H331" s="294"/>
      <c r="I331" s="294"/>
      <c r="J331" s="294"/>
      <c r="K331" s="294"/>
      <c r="L331" s="294"/>
      <c r="M331" s="294"/>
      <c r="N331" s="294"/>
      <c r="O331" s="294"/>
      <c r="P331" s="294"/>
    </row>
    <row r="332" spans="1:16" ht="15.75" customHeight="1">
      <c r="A332" s="294"/>
      <c r="B332" s="294"/>
      <c r="C332" s="294"/>
      <c r="D332" s="294"/>
      <c r="E332" s="294"/>
      <c r="F332" s="294"/>
      <c r="G332" s="294"/>
      <c r="H332" s="294"/>
      <c r="I332" s="294"/>
      <c r="J332" s="294"/>
      <c r="K332" s="294"/>
      <c r="L332" s="294"/>
      <c r="M332" s="294"/>
      <c r="N332" s="294"/>
      <c r="O332" s="294"/>
      <c r="P332" s="294"/>
    </row>
    <row r="333" spans="1:16" ht="15.75" customHeight="1">
      <c r="A333" s="294"/>
      <c r="B333" s="294"/>
      <c r="C333" s="294"/>
      <c r="D333" s="294"/>
      <c r="E333" s="294"/>
      <c r="F333" s="294"/>
      <c r="G333" s="294"/>
      <c r="H333" s="294"/>
      <c r="I333" s="294"/>
      <c r="J333" s="294"/>
      <c r="K333" s="294"/>
      <c r="L333" s="294"/>
      <c r="M333" s="294"/>
      <c r="N333" s="294"/>
      <c r="O333" s="294"/>
      <c r="P333" s="294"/>
    </row>
    <row r="334" spans="1:16" ht="15.75" customHeight="1">
      <c r="A334" s="294"/>
      <c r="B334" s="294"/>
      <c r="C334" s="294"/>
      <c r="D334" s="294"/>
      <c r="E334" s="294"/>
      <c r="F334" s="294"/>
      <c r="G334" s="294"/>
      <c r="H334" s="294"/>
      <c r="I334" s="294"/>
      <c r="J334" s="294"/>
      <c r="K334" s="294"/>
      <c r="L334" s="294"/>
      <c r="M334" s="294"/>
      <c r="N334" s="294"/>
      <c r="O334" s="294"/>
      <c r="P334" s="294"/>
    </row>
    <row r="335" spans="1:16" ht="15.75" customHeight="1">
      <c r="A335" s="68"/>
      <c r="B335" s="68"/>
      <c r="C335" s="68"/>
      <c r="D335" s="68"/>
      <c r="E335" s="68"/>
      <c r="F335" s="68"/>
      <c r="G335" s="68"/>
      <c r="H335" s="68"/>
      <c r="I335" s="68"/>
      <c r="J335" s="68"/>
      <c r="K335" s="68"/>
      <c r="L335" s="68"/>
      <c r="M335" s="68"/>
      <c r="N335" s="68"/>
      <c r="O335" s="68"/>
      <c r="P335" s="68"/>
    </row>
    <row r="336" spans="1:16" ht="15.75" customHeight="1">
      <c r="A336" s="68"/>
      <c r="B336" s="68"/>
      <c r="C336" s="68"/>
      <c r="D336" s="68"/>
      <c r="E336" s="68"/>
      <c r="F336" s="68"/>
      <c r="G336" s="68"/>
      <c r="H336" s="68"/>
      <c r="I336" s="68"/>
      <c r="J336" s="68"/>
      <c r="K336" s="68"/>
      <c r="L336" s="68"/>
      <c r="M336" s="68"/>
      <c r="N336" s="68"/>
      <c r="O336" s="68"/>
      <c r="P336" s="68"/>
    </row>
    <row r="337" spans="1:16" ht="15.75" customHeight="1">
      <c r="A337" s="68"/>
      <c r="B337" s="68"/>
      <c r="C337" s="68"/>
      <c r="D337" s="68"/>
      <c r="E337" s="68"/>
      <c r="F337" s="68"/>
      <c r="G337" s="68"/>
      <c r="H337" s="68"/>
      <c r="I337" s="68"/>
      <c r="J337" s="68"/>
      <c r="K337" s="68"/>
      <c r="L337" s="68"/>
      <c r="M337" s="68"/>
      <c r="N337" s="68"/>
      <c r="O337" s="68"/>
      <c r="P337" s="68"/>
    </row>
    <row r="338" spans="1:16" ht="15.75" customHeight="1">
      <c r="A338" s="68"/>
      <c r="B338" s="68"/>
      <c r="C338" s="68"/>
      <c r="D338" s="68"/>
      <c r="E338" s="68"/>
      <c r="F338" s="68"/>
      <c r="G338" s="68"/>
      <c r="H338" s="68"/>
      <c r="I338" s="68"/>
      <c r="J338" s="68"/>
      <c r="K338" s="68"/>
      <c r="L338" s="68"/>
      <c r="M338" s="68"/>
      <c r="N338" s="68"/>
      <c r="O338" s="68"/>
      <c r="P338" s="68"/>
    </row>
    <row r="339" spans="1:16" ht="15.75" customHeight="1">
      <c r="A339" s="68"/>
      <c r="B339" s="68"/>
      <c r="C339" s="68"/>
      <c r="D339" s="68"/>
      <c r="E339" s="68"/>
      <c r="F339" s="68"/>
      <c r="G339" s="68"/>
      <c r="H339" s="68"/>
      <c r="I339" s="68"/>
      <c r="J339" s="68"/>
      <c r="K339" s="68"/>
      <c r="L339" s="68"/>
      <c r="M339" s="68"/>
      <c r="N339" s="68"/>
      <c r="O339" s="68"/>
      <c r="P339" s="68"/>
    </row>
    <row r="340" spans="1:16" ht="15.75" customHeight="1">
      <c r="A340" s="68"/>
      <c r="B340" s="68"/>
      <c r="C340" s="68"/>
      <c r="D340" s="68"/>
      <c r="E340" s="68"/>
      <c r="F340" s="68"/>
      <c r="G340" s="68"/>
      <c r="H340" s="68"/>
      <c r="I340" s="68"/>
      <c r="J340" s="68"/>
      <c r="K340" s="68"/>
      <c r="L340" s="68"/>
      <c r="M340" s="68"/>
      <c r="N340" s="68"/>
      <c r="O340" s="68"/>
      <c r="P340" s="68"/>
    </row>
    <row r="341" spans="1:16" ht="15.75" customHeight="1">
      <c r="A341" s="68"/>
      <c r="B341" s="68"/>
      <c r="C341" s="68"/>
      <c r="D341" s="68"/>
      <c r="E341" s="68"/>
      <c r="F341" s="68"/>
      <c r="G341" s="68"/>
      <c r="H341" s="68"/>
      <c r="I341" s="68"/>
      <c r="J341" s="68"/>
      <c r="K341" s="68"/>
      <c r="L341" s="68"/>
      <c r="M341" s="68"/>
      <c r="N341" s="68"/>
      <c r="O341" s="68"/>
      <c r="P341" s="68"/>
    </row>
    <row r="342" spans="1:16" ht="15.75" customHeight="1">
      <c r="A342" s="68"/>
      <c r="B342" s="68"/>
      <c r="C342" s="68"/>
      <c r="D342" s="68"/>
      <c r="E342" s="68"/>
      <c r="F342" s="68"/>
      <c r="G342" s="68"/>
      <c r="H342" s="68"/>
      <c r="I342" s="68"/>
      <c r="J342" s="68"/>
      <c r="K342" s="68"/>
      <c r="L342" s="68"/>
      <c r="M342" s="68"/>
      <c r="N342" s="68"/>
      <c r="O342" s="68"/>
      <c r="P342" s="68"/>
    </row>
    <row r="343" spans="1:16" ht="15.75" customHeight="1">
      <c r="A343" s="68"/>
      <c r="B343" s="68"/>
      <c r="C343" s="68"/>
      <c r="D343" s="68"/>
      <c r="E343" s="68"/>
      <c r="F343" s="68"/>
      <c r="G343" s="68"/>
      <c r="H343" s="68"/>
      <c r="I343" s="68"/>
      <c r="J343" s="68"/>
      <c r="K343" s="68"/>
      <c r="L343" s="68"/>
      <c r="M343" s="68"/>
      <c r="N343" s="68"/>
      <c r="O343" s="68"/>
      <c r="P343" s="68"/>
    </row>
    <row r="344" spans="1:16" ht="15.75" customHeight="1">
      <c r="A344" s="68"/>
      <c r="B344" s="68"/>
      <c r="C344" s="68"/>
      <c r="D344" s="68"/>
      <c r="E344" s="68"/>
      <c r="F344" s="68"/>
      <c r="G344" s="68"/>
      <c r="H344" s="68"/>
      <c r="I344" s="68"/>
      <c r="J344" s="68"/>
      <c r="K344" s="68"/>
      <c r="L344" s="68"/>
      <c r="M344" s="68"/>
      <c r="N344" s="68"/>
      <c r="O344" s="68"/>
      <c r="P344" s="68"/>
    </row>
    <row r="345" spans="1:16" ht="15.75" customHeight="1">
      <c r="A345" s="68"/>
      <c r="B345" s="68"/>
      <c r="C345" s="68"/>
      <c r="D345" s="68"/>
      <c r="E345" s="68"/>
      <c r="F345" s="68"/>
      <c r="G345" s="68"/>
      <c r="H345" s="68"/>
      <c r="I345" s="68"/>
      <c r="J345" s="68"/>
      <c r="K345" s="68"/>
      <c r="L345" s="68"/>
      <c r="M345" s="68"/>
      <c r="N345" s="68"/>
      <c r="O345" s="68"/>
      <c r="P345" s="68"/>
    </row>
    <row r="346" spans="1:16" ht="15.75" customHeight="1">
      <c r="A346" s="68"/>
      <c r="B346" s="68"/>
      <c r="C346" s="68"/>
      <c r="D346" s="68"/>
      <c r="E346" s="68"/>
      <c r="F346" s="68"/>
      <c r="G346" s="68"/>
      <c r="H346" s="68"/>
      <c r="I346" s="68"/>
      <c r="J346" s="68"/>
      <c r="K346" s="68"/>
      <c r="L346" s="68"/>
      <c r="M346" s="68"/>
      <c r="N346" s="68"/>
      <c r="O346" s="68"/>
      <c r="P346" s="68"/>
    </row>
    <row r="347" spans="1:16" ht="15.75" customHeight="1">
      <c r="A347" s="392" t="s">
        <v>392</v>
      </c>
      <c r="B347" s="294"/>
      <c r="C347" s="294"/>
      <c r="D347" s="294"/>
      <c r="E347" s="294"/>
      <c r="F347" s="294"/>
      <c r="G347" s="294"/>
      <c r="H347" s="294"/>
      <c r="I347" s="294"/>
      <c r="J347" s="294"/>
      <c r="K347" s="294"/>
      <c r="L347" s="294"/>
      <c r="M347" s="294"/>
      <c r="N347" s="294"/>
      <c r="O347" s="294"/>
      <c r="P347" s="294"/>
    </row>
    <row r="348" spans="1:16" ht="15.75" customHeight="1">
      <c r="A348" s="294"/>
      <c r="B348" s="294"/>
      <c r="C348" s="294"/>
      <c r="D348" s="294"/>
      <c r="E348" s="294"/>
      <c r="F348" s="294"/>
      <c r="G348" s="294"/>
      <c r="H348" s="294"/>
      <c r="I348" s="294"/>
      <c r="J348" s="294"/>
      <c r="K348" s="294"/>
      <c r="L348" s="294"/>
      <c r="M348" s="294"/>
      <c r="N348" s="294"/>
      <c r="O348" s="294"/>
      <c r="P348" s="294"/>
    </row>
    <row r="349" spans="1:16" ht="15.75" customHeight="1">
      <c r="A349" s="350" t="s">
        <v>393</v>
      </c>
      <c r="B349" s="319"/>
      <c r="C349" s="319"/>
      <c r="D349" s="431" t="str">
        <f>$D$100</f>
        <v>Av1</v>
      </c>
      <c r="E349" s="319"/>
      <c r="F349" s="319"/>
      <c r="G349" s="319"/>
      <c r="H349" s="319"/>
      <c r="I349" s="319"/>
      <c r="J349" s="125"/>
      <c r="K349" s="431" t="str">
        <f ca="1">OFFSET('BD tratado'!$D$1,,'BD tratado'!$A$147)</f>
        <v>Av15</v>
      </c>
      <c r="L349" s="319"/>
      <c r="M349" s="319"/>
      <c r="N349" s="319"/>
      <c r="O349" s="319"/>
      <c r="P349" s="319"/>
    </row>
    <row r="350" spans="1:16" ht="15.75" customHeight="1">
      <c r="A350" s="317"/>
      <c r="B350" s="317"/>
      <c r="C350" s="317"/>
      <c r="D350" s="365">
        <f ca="1">OFFSET('BD tratado'!$D$2,,MATCH(D349,BD!$B$1:$I$1,0))</f>
        <v>44517</v>
      </c>
      <c r="E350" s="317"/>
      <c r="F350" s="317"/>
      <c r="G350" s="317"/>
      <c r="H350" s="317"/>
      <c r="I350" s="317"/>
      <c r="J350" s="126"/>
      <c r="K350" s="398" t="e">
        <f ca="1">OFFSET('BD tratado'!$D$2,,MATCH(K349,BD!$B$1:$I$1,0))</f>
        <v>#N/A</v>
      </c>
      <c r="L350" s="317"/>
      <c r="M350" s="317"/>
      <c r="N350" s="317"/>
      <c r="O350" s="317"/>
      <c r="P350" s="317"/>
    </row>
    <row r="351" spans="1:16" ht="15.75" customHeight="1">
      <c r="A351" s="313" t="s">
        <v>72</v>
      </c>
      <c r="B351" s="294"/>
      <c r="C351" s="294"/>
      <c r="D351" s="331">
        <f ca="1">OFFSET(Imagens!$A$5,0,MATCH(D$349,BD!$B$1:$P$1,0))</f>
        <v>0</v>
      </c>
      <c r="E351" s="294"/>
      <c r="F351" s="294"/>
      <c r="G351" s="294"/>
      <c r="H351" s="294"/>
      <c r="I351" s="294"/>
      <c r="K351" s="331">
        <f ca="1">OFFSET(Imagens!$A$5,0,MATCH(K$349,BD!$B$1:$P$1,0))</f>
        <v>0</v>
      </c>
      <c r="L351" s="294"/>
      <c r="M351" s="294"/>
      <c r="N351" s="294"/>
      <c r="O351" s="294"/>
      <c r="P351" s="294"/>
    </row>
    <row r="352" spans="1:16" ht="15.75" customHeight="1">
      <c r="A352" s="294"/>
      <c r="B352" s="294"/>
      <c r="C352" s="294"/>
      <c r="D352" s="294"/>
      <c r="E352" s="294"/>
      <c r="F352" s="294"/>
      <c r="G352" s="294"/>
      <c r="H352" s="294"/>
      <c r="I352" s="294"/>
      <c r="K352" s="294"/>
      <c r="L352" s="294"/>
      <c r="M352" s="294"/>
      <c r="N352" s="294"/>
      <c r="O352" s="294"/>
      <c r="P352" s="294"/>
    </row>
    <row r="353" spans="1:16" ht="15.75" customHeight="1">
      <c r="A353" s="294"/>
      <c r="B353" s="294"/>
      <c r="C353" s="294"/>
      <c r="D353" s="294"/>
      <c r="E353" s="294"/>
      <c r="F353" s="294"/>
      <c r="G353" s="294"/>
      <c r="H353" s="294"/>
      <c r="I353" s="294"/>
      <c r="K353" s="294"/>
      <c r="L353" s="294"/>
      <c r="M353" s="294"/>
      <c r="N353" s="294"/>
      <c r="O353" s="294"/>
      <c r="P353" s="294"/>
    </row>
    <row r="354" spans="1:16" ht="15.75" customHeight="1">
      <c r="A354" s="294"/>
      <c r="B354" s="294"/>
      <c r="C354" s="294"/>
      <c r="D354" s="294"/>
      <c r="E354" s="294"/>
      <c r="F354" s="294"/>
      <c r="G354" s="294"/>
      <c r="H354" s="294"/>
      <c r="I354" s="294"/>
      <c r="K354" s="294"/>
      <c r="L354" s="294"/>
      <c r="M354" s="294"/>
      <c r="N354" s="294"/>
      <c r="O354" s="294"/>
      <c r="P354" s="294"/>
    </row>
    <row r="355" spans="1:16" ht="15.75" customHeight="1">
      <c r="A355" s="294"/>
      <c r="B355" s="294"/>
      <c r="C355" s="294"/>
      <c r="D355" s="294"/>
      <c r="E355" s="294"/>
      <c r="F355" s="294"/>
      <c r="G355" s="294"/>
      <c r="H355" s="294"/>
      <c r="I355" s="294"/>
      <c r="K355" s="294"/>
      <c r="L355" s="294"/>
      <c r="M355" s="294"/>
      <c r="N355" s="294"/>
      <c r="O355" s="294"/>
      <c r="P355" s="294"/>
    </row>
    <row r="356" spans="1:16" ht="15.75" customHeight="1">
      <c r="A356" s="294"/>
      <c r="B356" s="294"/>
      <c r="C356" s="294"/>
      <c r="D356" s="294"/>
      <c r="E356" s="294"/>
      <c r="F356" s="294"/>
      <c r="G356" s="294"/>
      <c r="H356" s="294"/>
      <c r="I356" s="294"/>
      <c r="K356" s="294"/>
      <c r="L356" s="294"/>
      <c r="M356" s="294"/>
      <c r="N356" s="294"/>
      <c r="O356" s="294"/>
      <c r="P356" s="294"/>
    </row>
    <row r="357" spans="1:16" ht="15.75" customHeight="1">
      <c r="A357" s="294"/>
      <c r="B357" s="294"/>
      <c r="C357" s="294"/>
      <c r="D357" s="294"/>
      <c r="E357" s="294"/>
      <c r="F357" s="294"/>
      <c r="G357" s="294"/>
      <c r="H357" s="294"/>
      <c r="I357" s="294"/>
      <c r="K357" s="294"/>
      <c r="L357" s="294"/>
      <c r="M357" s="294"/>
      <c r="N357" s="294"/>
      <c r="O357" s="294"/>
      <c r="P357" s="294"/>
    </row>
    <row r="358" spans="1:16" ht="15.75" customHeight="1">
      <c r="A358" s="294"/>
      <c r="B358" s="294"/>
      <c r="C358" s="294"/>
      <c r="D358" s="294"/>
      <c r="E358" s="294"/>
      <c r="F358" s="294"/>
      <c r="G358" s="294"/>
      <c r="H358" s="294"/>
      <c r="I358" s="294"/>
      <c r="K358" s="294"/>
      <c r="L358" s="294"/>
      <c r="M358" s="294"/>
      <c r="N358" s="294"/>
      <c r="O358" s="294"/>
      <c r="P358" s="294"/>
    </row>
    <row r="359" spans="1:16" ht="15.75" customHeight="1">
      <c r="A359" s="294"/>
      <c r="B359" s="294"/>
      <c r="C359" s="294"/>
      <c r="D359" s="294"/>
      <c r="E359" s="294"/>
      <c r="F359" s="294"/>
      <c r="G359" s="294"/>
      <c r="H359" s="294"/>
      <c r="I359" s="294"/>
      <c r="K359" s="294"/>
      <c r="L359" s="294"/>
      <c r="M359" s="294"/>
      <c r="N359" s="294"/>
      <c r="O359" s="294"/>
      <c r="P359" s="294"/>
    </row>
    <row r="360" spans="1:16" ht="15.75" customHeight="1">
      <c r="A360" s="313" t="s">
        <v>394</v>
      </c>
      <c r="B360" s="294"/>
      <c r="C360" s="294"/>
      <c r="D360" s="331">
        <f ca="1">OFFSET(Imagens!$A$6,0,MATCH(D$349,BD!$B$1:$P$1,0))</f>
        <v>0</v>
      </c>
      <c r="E360" s="294"/>
      <c r="F360" s="294"/>
      <c r="G360" s="294"/>
      <c r="H360" s="294"/>
      <c r="I360" s="294"/>
      <c r="K360" s="331">
        <f ca="1">OFFSET(Imagens!$A$6,0,MATCH(K$349,BD!$B$1:$P$1,0))</f>
        <v>0</v>
      </c>
      <c r="L360" s="294"/>
      <c r="M360" s="294"/>
      <c r="N360" s="294"/>
      <c r="O360" s="294"/>
      <c r="P360" s="294"/>
    </row>
    <row r="361" spans="1:16" ht="15.75" customHeight="1">
      <c r="A361" s="294"/>
      <c r="B361" s="294"/>
      <c r="C361" s="294"/>
      <c r="D361" s="294"/>
      <c r="E361" s="294"/>
      <c r="F361" s="294"/>
      <c r="G361" s="294"/>
      <c r="H361" s="294"/>
      <c r="I361" s="294"/>
      <c r="K361" s="294"/>
      <c r="L361" s="294"/>
      <c r="M361" s="294"/>
      <c r="N361" s="294"/>
      <c r="O361" s="294"/>
      <c r="P361" s="294"/>
    </row>
    <row r="362" spans="1:16" ht="15.75" customHeight="1">
      <c r="A362" s="294"/>
      <c r="B362" s="294"/>
      <c r="C362" s="294"/>
      <c r="D362" s="294"/>
      <c r="E362" s="294"/>
      <c r="F362" s="294"/>
      <c r="G362" s="294"/>
      <c r="H362" s="294"/>
      <c r="I362" s="294"/>
      <c r="K362" s="294"/>
      <c r="L362" s="294"/>
      <c r="M362" s="294"/>
      <c r="N362" s="294"/>
      <c r="O362" s="294"/>
      <c r="P362" s="294"/>
    </row>
    <row r="363" spans="1:16" ht="15.75" customHeight="1">
      <c r="A363" s="294"/>
      <c r="B363" s="294"/>
      <c r="C363" s="294"/>
      <c r="D363" s="294"/>
      <c r="E363" s="294"/>
      <c r="F363" s="294"/>
      <c r="G363" s="294"/>
      <c r="H363" s="294"/>
      <c r="I363" s="294"/>
      <c r="K363" s="294"/>
      <c r="L363" s="294"/>
      <c r="M363" s="294"/>
      <c r="N363" s="294"/>
      <c r="O363" s="294"/>
      <c r="P363" s="294"/>
    </row>
    <row r="364" spans="1:16" ht="15.75" customHeight="1">
      <c r="A364" s="294"/>
      <c r="B364" s="294"/>
      <c r="C364" s="294"/>
      <c r="D364" s="294"/>
      <c r="E364" s="294"/>
      <c r="F364" s="294"/>
      <c r="G364" s="294"/>
      <c r="H364" s="294"/>
      <c r="I364" s="294"/>
      <c r="K364" s="294"/>
      <c r="L364" s="294"/>
      <c r="M364" s="294"/>
      <c r="N364" s="294"/>
      <c r="O364" s="294"/>
      <c r="P364" s="294"/>
    </row>
    <row r="365" spans="1:16" ht="15.75" customHeight="1">
      <c r="A365" s="294"/>
      <c r="B365" s="294"/>
      <c r="C365" s="294"/>
      <c r="D365" s="294"/>
      <c r="E365" s="294"/>
      <c r="F365" s="294"/>
      <c r="G365" s="294"/>
      <c r="H365" s="294"/>
      <c r="I365" s="294"/>
      <c r="K365" s="294"/>
      <c r="L365" s="294"/>
      <c r="M365" s="294"/>
      <c r="N365" s="294"/>
      <c r="O365" s="294"/>
      <c r="P365" s="294"/>
    </row>
    <row r="366" spans="1:16" ht="15.75" customHeight="1">
      <c r="A366" s="294"/>
      <c r="B366" s="294"/>
      <c r="C366" s="294"/>
      <c r="D366" s="294"/>
      <c r="E366" s="294"/>
      <c r="F366" s="294"/>
      <c r="G366" s="294"/>
      <c r="H366" s="294"/>
      <c r="I366" s="294"/>
      <c r="K366" s="294"/>
      <c r="L366" s="294"/>
      <c r="M366" s="294"/>
      <c r="N366" s="294"/>
      <c r="O366" s="294"/>
      <c r="P366" s="294"/>
    </row>
    <row r="367" spans="1:16" ht="15.75" customHeight="1">
      <c r="A367" s="294"/>
      <c r="B367" s="294"/>
      <c r="C367" s="294"/>
      <c r="D367" s="294"/>
      <c r="E367" s="294"/>
      <c r="F367" s="294"/>
      <c r="G367" s="294"/>
      <c r="H367" s="294"/>
      <c r="I367" s="294"/>
      <c r="K367" s="294"/>
      <c r="L367" s="294"/>
      <c r="M367" s="294"/>
      <c r="N367" s="294"/>
      <c r="O367" s="294"/>
      <c r="P367" s="294"/>
    </row>
    <row r="368" spans="1:16" ht="15.75" customHeight="1">
      <c r="A368" s="294"/>
      <c r="B368" s="294"/>
      <c r="C368" s="294"/>
      <c r="D368" s="294"/>
      <c r="E368" s="294"/>
      <c r="F368" s="294"/>
      <c r="G368" s="294"/>
      <c r="H368" s="294"/>
      <c r="I368" s="294"/>
      <c r="K368" s="294"/>
      <c r="L368" s="294"/>
      <c r="M368" s="294"/>
      <c r="N368" s="294"/>
      <c r="O368" s="294"/>
      <c r="P368" s="294"/>
    </row>
    <row r="369" spans="1:16" ht="15.75" customHeight="1">
      <c r="A369" s="313" t="s">
        <v>395</v>
      </c>
      <c r="B369" s="294"/>
      <c r="C369" s="294"/>
      <c r="D369" s="331">
        <f ca="1">OFFSET(Imagens!$A$7,0,MATCH(D$349,BD!$B$1:$P$1,0))</f>
        <v>0</v>
      </c>
      <c r="E369" s="294"/>
      <c r="F369" s="294"/>
      <c r="G369" s="294"/>
      <c r="H369" s="294"/>
      <c r="I369" s="294"/>
      <c r="K369" s="331">
        <f ca="1">OFFSET(Imagens!$A$7,0,MATCH(K$349,BD!$B$1:$P$1,0))</f>
        <v>0</v>
      </c>
      <c r="L369" s="294"/>
      <c r="M369" s="294"/>
      <c r="N369" s="294"/>
      <c r="O369" s="294"/>
      <c r="P369" s="294"/>
    </row>
    <row r="370" spans="1:16" ht="15.75" customHeight="1">
      <c r="A370" s="294"/>
      <c r="B370" s="294"/>
      <c r="C370" s="294"/>
      <c r="D370" s="294"/>
      <c r="E370" s="294"/>
      <c r="F370" s="294"/>
      <c r="G370" s="294"/>
      <c r="H370" s="294"/>
      <c r="I370" s="294"/>
      <c r="K370" s="294"/>
      <c r="L370" s="294"/>
      <c r="M370" s="294"/>
      <c r="N370" s="294"/>
      <c r="O370" s="294"/>
      <c r="P370" s="294"/>
    </row>
    <row r="371" spans="1:16" ht="15.75" customHeight="1">
      <c r="A371" s="294"/>
      <c r="B371" s="294"/>
      <c r="C371" s="294"/>
      <c r="D371" s="294"/>
      <c r="E371" s="294"/>
      <c r="F371" s="294"/>
      <c r="G371" s="294"/>
      <c r="H371" s="294"/>
      <c r="I371" s="294"/>
      <c r="K371" s="294"/>
      <c r="L371" s="294"/>
      <c r="M371" s="294"/>
      <c r="N371" s="294"/>
      <c r="O371" s="294"/>
      <c r="P371" s="294"/>
    </row>
    <row r="372" spans="1:16" ht="15.75" customHeight="1">
      <c r="A372" s="294"/>
      <c r="B372" s="294"/>
      <c r="C372" s="294"/>
      <c r="D372" s="294"/>
      <c r="E372" s="294"/>
      <c r="F372" s="294"/>
      <c r="G372" s="294"/>
      <c r="H372" s="294"/>
      <c r="I372" s="294"/>
      <c r="K372" s="294"/>
      <c r="L372" s="294"/>
      <c r="M372" s="294"/>
      <c r="N372" s="294"/>
      <c r="O372" s="294"/>
      <c r="P372" s="294"/>
    </row>
    <row r="373" spans="1:16" ht="15.75" customHeight="1">
      <c r="A373" s="294"/>
      <c r="B373" s="294"/>
      <c r="C373" s="294"/>
      <c r="D373" s="294"/>
      <c r="E373" s="294"/>
      <c r="F373" s="294"/>
      <c r="G373" s="294"/>
      <c r="H373" s="294"/>
      <c r="I373" s="294"/>
      <c r="K373" s="294"/>
      <c r="L373" s="294"/>
      <c r="M373" s="294"/>
      <c r="N373" s="294"/>
      <c r="O373" s="294"/>
      <c r="P373" s="294"/>
    </row>
    <row r="374" spans="1:16" ht="15.75" customHeight="1">
      <c r="A374" s="294"/>
      <c r="B374" s="294"/>
      <c r="C374" s="294"/>
      <c r="D374" s="294"/>
      <c r="E374" s="294"/>
      <c r="F374" s="294"/>
      <c r="G374" s="294"/>
      <c r="H374" s="294"/>
      <c r="I374" s="294"/>
      <c r="K374" s="294"/>
      <c r="L374" s="294"/>
      <c r="M374" s="294"/>
      <c r="N374" s="294"/>
      <c r="O374" s="294"/>
      <c r="P374" s="294"/>
    </row>
    <row r="375" spans="1:16" ht="15.75" customHeight="1">
      <c r="A375" s="294"/>
      <c r="B375" s="294"/>
      <c r="C375" s="294"/>
      <c r="D375" s="294"/>
      <c r="E375" s="294"/>
      <c r="F375" s="294"/>
      <c r="G375" s="294"/>
      <c r="H375" s="294"/>
      <c r="I375" s="294"/>
      <c r="K375" s="294"/>
      <c r="L375" s="294"/>
      <c r="M375" s="294"/>
      <c r="N375" s="294"/>
      <c r="O375" s="294"/>
      <c r="P375" s="294"/>
    </row>
    <row r="376" spans="1:16" ht="15.75" customHeight="1">
      <c r="A376" s="294"/>
      <c r="B376" s="294"/>
      <c r="C376" s="294"/>
      <c r="D376" s="294"/>
      <c r="E376" s="294"/>
      <c r="F376" s="294"/>
      <c r="G376" s="294"/>
      <c r="H376" s="294"/>
      <c r="I376" s="294"/>
      <c r="K376" s="294"/>
      <c r="L376" s="294"/>
      <c r="M376" s="294"/>
      <c r="N376" s="294"/>
      <c r="O376" s="294"/>
      <c r="P376" s="294"/>
    </row>
    <row r="377" spans="1:16" ht="15.75" customHeight="1">
      <c r="A377" s="294"/>
      <c r="B377" s="294"/>
      <c r="C377" s="294"/>
      <c r="D377" s="294"/>
      <c r="E377" s="294"/>
      <c r="F377" s="294"/>
      <c r="G377" s="294"/>
      <c r="H377" s="294"/>
      <c r="I377" s="294"/>
      <c r="K377" s="294"/>
      <c r="L377" s="294"/>
      <c r="M377" s="294"/>
      <c r="N377" s="294"/>
      <c r="O377" s="294"/>
      <c r="P377" s="294"/>
    </row>
    <row r="378" spans="1:16" ht="15.75" customHeight="1">
      <c r="A378" s="313" t="s">
        <v>396</v>
      </c>
      <c r="B378" s="294"/>
      <c r="C378" s="294"/>
      <c r="D378" s="331">
        <f ca="1">OFFSET(Imagens!$A$8,0,MATCH(D$349,BD!$B$1:$P$1,0))</f>
        <v>0</v>
      </c>
      <c r="E378" s="294"/>
      <c r="F378" s="294"/>
      <c r="G378" s="294"/>
      <c r="H378" s="294"/>
      <c r="I378" s="294"/>
      <c r="K378" s="331">
        <f ca="1">OFFSET(Imagens!$A$8,0,MATCH(K$349,BD!$B$1:$P$1,0))</f>
        <v>0</v>
      </c>
      <c r="L378" s="294"/>
      <c r="M378" s="294"/>
      <c r="N378" s="294"/>
      <c r="O378" s="294"/>
      <c r="P378" s="294"/>
    </row>
    <row r="379" spans="1:16" ht="15.75" customHeight="1">
      <c r="A379" s="294"/>
      <c r="B379" s="294"/>
      <c r="C379" s="294"/>
      <c r="D379" s="294"/>
      <c r="E379" s="294"/>
      <c r="F379" s="294"/>
      <c r="G379" s="294"/>
      <c r="H379" s="294"/>
      <c r="I379" s="294"/>
      <c r="K379" s="294"/>
      <c r="L379" s="294"/>
      <c r="M379" s="294"/>
      <c r="N379" s="294"/>
      <c r="O379" s="294"/>
      <c r="P379" s="294"/>
    </row>
    <row r="380" spans="1:16" ht="15.75" customHeight="1">
      <c r="A380" s="294"/>
      <c r="B380" s="294"/>
      <c r="C380" s="294"/>
      <c r="D380" s="294"/>
      <c r="E380" s="294"/>
      <c r="F380" s="294"/>
      <c r="G380" s="294"/>
      <c r="H380" s="294"/>
      <c r="I380" s="294"/>
      <c r="K380" s="294"/>
      <c r="L380" s="294"/>
      <c r="M380" s="294"/>
      <c r="N380" s="294"/>
      <c r="O380" s="294"/>
      <c r="P380" s="294"/>
    </row>
    <row r="381" spans="1:16" ht="15.75" customHeight="1">
      <c r="A381" s="294"/>
      <c r="B381" s="294"/>
      <c r="C381" s="294"/>
      <c r="D381" s="294"/>
      <c r="E381" s="294"/>
      <c r="F381" s="294"/>
      <c r="G381" s="294"/>
      <c r="H381" s="294"/>
      <c r="I381" s="294"/>
      <c r="K381" s="294"/>
      <c r="L381" s="294"/>
      <c r="M381" s="294"/>
      <c r="N381" s="294"/>
      <c r="O381" s="294"/>
      <c r="P381" s="294"/>
    </row>
    <row r="382" spans="1:16" ht="15.75" customHeight="1">
      <c r="A382" s="294"/>
      <c r="B382" s="294"/>
      <c r="C382" s="294"/>
      <c r="D382" s="294"/>
      <c r="E382" s="294"/>
      <c r="F382" s="294"/>
      <c r="G382" s="294"/>
      <c r="H382" s="294"/>
      <c r="I382" s="294"/>
      <c r="K382" s="294"/>
      <c r="L382" s="294"/>
      <c r="M382" s="294"/>
      <c r="N382" s="294"/>
      <c r="O382" s="294"/>
      <c r="P382" s="294"/>
    </row>
    <row r="383" spans="1:16" ht="15.75" customHeight="1">
      <c r="A383" s="294"/>
      <c r="B383" s="294"/>
      <c r="C383" s="294"/>
      <c r="D383" s="294"/>
      <c r="E383" s="294"/>
      <c r="F383" s="294"/>
      <c r="G383" s="294"/>
      <c r="H383" s="294"/>
      <c r="I383" s="294"/>
      <c r="K383" s="294"/>
      <c r="L383" s="294"/>
      <c r="M383" s="294"/>
      <c r="N383" s="294"/>
      <c r="O383" s="294"/>
      <c r="P383" s="294"/>
    </row>
    <row r="384" spans="1:16" ht="15.75" customHeight="1">
      <c r="A384" s="294"/>
      <c r="B384" s="294"/>
      <c r="C384" s="294"/>
      <c r="D384" s="294"/>
      <c r="E384" s="294"/>
      <c r="F384" s="294"/>
      <c r="G384" s="294"/>
      <c r="H384" s="294"/>
      <c r="I384" s="294"/>
      <c r="K384" s="294"/>
      <c r="L384" s="294"/>
      <c r="M384" s="294"/>
      <c r="N384" s="294"/>
      <c r="O384" s="294"/>
      <c r="P384" s="294"/>
    </row>
    <row r="385" spans="1:16" ht="15.75" customHeight="1">
      <c r="A385" s="294"/>
      <c r="B385" s="294"/>
      <c r="C385" s="294"/>
      <c r="D385" s="294"/>
      <c r="E385" s="294"/>
      <c r="F385" s="294"/>
      <c r="G385" s="294"/>
      <c r="H385" s="294"/>
      <c r="I385" s="294"/>
      <c r="K385" s="294"/>
      <c r="L385" s="294"/>
      <c r="M385" s="294"/>
      <c r="N385" s="294"/>
      <c r="O385" s="294"/>
      <c r="P385" s="294"/>
    </row>
    <row r="386" spans="1:16" ht="15.75" customHeight="1">
      <c r="A386" s="294"/>
      <c r="B386" s="294"/>
      <c r="C386" s="294"/>
      <c r="D386" s="294"/>
      <c r="E386" s="294"/>
      <c r="F386" s="294"/>
      <c r="G386" s="294"/>
      <c r="H386" s="294"/>
      <c r="I386" s="294"/>
      <c r="K386" s="294"/>
      <c r="L386" s="294"/>
      <c r="M386" s="294"/>
      <c r="N386" s="294"/>
      <c r="O386" s="294"/>
      <c r="P386" s="294"/>
    </row>
    <row r="387" spans="1:16" ht="15.75" customHeight="1">
      <c r="A387" s="68"/>
      <c r="B387" s="68"/>
      <c r="C387" s="68"/>
      <c r="D387" s="68"/>
      <c r="E387" s="68"/>
      <c r="F387" s="68"/>
      <c r="G387" s="68"/>
      <c r="H387" s="68"/>
      <c r="I387" s="68"/>
      <c r="J387" s="68"/>
      <c r="K387" s="68"/>
      <c r="L387" s="68"/>
      <c r="M387" s="68"/>
      <c r="N387" s="68"/>
      <c r="O387" s="68"/>
      <c r="P387" s="68"/>
    </row>
    <row r="388" spans="1:16" ht="15.75" customHeight="1">
      <c r="A388" s="68"/>
      <c r="B388" s="68"/>
      <c r="C388" s="68"/>
      <c r="D388" s="68"/>
      <c r="E388" s="68"/>
      <c r="F388" s="68"/>
      <c r="G388" s="68"/>
      <c r="H388" s="68"/>
      <c r="I388" s="68"/>
      <c r="J388" s="68"/>
      <c r="K388" s="68"/>
      <c r="L388" s="68"/>
      <c r="M388" s="68"/>
      <c r="N388" s="68"/>
      <c r="O388" s="68"/>
      <c r="P388" s="68"/>
    </row>
    <row r="389" spans="1:16" ht="15.75" customHeight="1">
      <c r="A389" s="68"/>
      <c r="B389" s="68"/>
      <c r="C389" s="68"/>
      <c r="D389" s="68"/>
      <c r="E389" s="68"/>
      <c r="F389" s="68"/>
      <c r="G389" s="68"/>
      <c r="H389" s="68"/>
      <c r="I389" s="68"/>
      <c r="J389" s="68"/>
      <c r="K389" s="68"/>
      <c r="L389" s="68"/>
      <c r="M389" s="68"/>
      <c r="N389" s="68"/>
      <c r="O389" s="68"/>
      <c r="P389" s="68"/>
    </row>
    <row r="390" spans="1:16" ht="15.75" customHeight="1">
      <c r="A390" s="392" t="s">
        <v>397</v>
      </c>
      <c r="B390" s="294"/>
      <c r="C390" s="294"/>
      <c r="D390" s="294"/>
      <c r="E390" s="294"/>
      <c r="F390" s="294"/>
      <c r="G390" s="294"/>
      <c r="H390" s="294"/>
      <c r="I390" s="294"/>
      <c r="J390" s="294"/>
      <c r="K390" s="294"/>
      <c r="L390" s="294"/>
      <c r="M390" s="294"/>
      <c r="N390" s="294"/>
      <c r="O390" s="294"/>
      <c r="P390" s="294"/>
    </row>
    <row r="391" spans="1:16" ht="15.75" customHeight="1">
      <c r="A391" s="294"/>
      <c r="B391" s="294"/>
      <c r="C391" s="294"/>
      <c r="D391" s="294"/>
      <c r="E391" s="294"/>
      <c r="F391" s="294"/>
      <c r="G391" s="294"/>
      <c r="H391" s="294"/>
      <c r="I391" s="294"/>
      <c r="J391" s="294"/>
      <c r="K391" s="294"/>
      <c r="L391" s="294"/>
      <c r="M391" s="294"/>
      <c r="N391" s="294"/>
      <c r="O391" s="294"/>
      <c r="P391" s="294"/>
    </row>
    <row r="392" spans="1:16" ht="15.75" customHeight="1">
      <c r="A392" s="331"/>
      <c r="B392" s="294"/>
      <c r="C392" s="294"/>
      <c r="D392" s="294"/>
      <c r="E392" s="294"/>
      <c r="F392" s="294"/>
      <c r="G392" s="294"/>
      <c r="H392" s="294"/>
      <c r="I392" s="294"/>
      <c r="J392" s="294"/>
      <c r="K392" s="294"/>
      <c r="L392" s="294"/>
      <c r="M392" s="294"/>
      <c r="N392" s="294"/>
      <c r="O392" s="294"/>
      <c r="P392" s="294"/>
    </row>
    <row r="393" spans="1:16" ht="15.75" customHeight="1">
      <c r="A393" s="294"/>
      <c r="B393" s="294"/>
      <c r="C393" s="294"/>
      <c r="D393" s="294"/>
      <c r="E393" s="294"/>
      <c r="F393" s="294"/>
      <c r="G393" s="294"/>
      <c r="H393" s="294"/>
      <c r="I393" s="294"/>
      <c r="J393" s="294"/>
      <c r="K393" s="294"/>
      <c r="L393" s="294"/>
      <c r="M393" s="294"/>
      <c r="N393" s="294"/>
      <c r="O393" s="294"/>
      <c r="P393" s="294"/>
    </row>
    <row r="394" spans="1:16" ht="15.75" customHeight="1">
      <c r="A394" s="294"/>
      <c r="B394" s="294"/>
      <c r="C394" s="294"/>
      <c r="D394" s="294"/>
      <c r="E394" s="294"/>
      <c r="F394" s="294"/>
      <c r="G394" s="294"/>
      <c r="H394" s="294"/>
      <c r="I394" s="294"/>
      <c r="J394" s="294"/>
      <c r="K394" s="294"/>
      <c r="L394" s="294"/>
      <c r="M394" s="294"/>
      <c r="N394" s="294"/>
      <c r="O394" s="294"/>
      <c r="P394" s="294"/>
    </row>
    <row r="395" spans="1:16" ht="15.75" customHeight="1">
      <c r="A395" s="350"/>
      <c r="B395" s="319"/>
      <c r="C395" s="319"/>
      <c r="D395" s="431" t="str">
        <f>$D$100</f>
        <v>Av1</v>
      </c>
      <c r="E395" s="319"/>
      <c r="F395" s="432" t="s">
        <v>39</v>
      </c>
      <c r="G395" s="431" t="str">
        <f ca="1">$G$100</f>
        <v>Av13</v>
      </c>
      <c r="H395" s="319"/>
      <c r="I395" s="432" t="s">
        <v>39</v>
      </c>
      <c r="J395" s="431" t="str">
        <f ca="1">$J$100</f>
        <v>Av14</v>
      </c>
      <c r="K395" s="319"/>
      <c r="L395" s="432" t="s">
        <v>39</v>
      </c>
      <c r="M395" s="431" t="str">
        <f ca="1">$M$100</f>
        <v>Av15</v>
      </c>
      <c r="N395" s="319"/>
      <c r="O395" s="431" t="s">
        <v>356</v>
      </c>
      <c r="P395" s="319"/>
    </row>
    <row r="396" spans="1:16" ht="15.75" customHeight="1">
      <c r="A396" s="317"/>
      <c r="B396" s="317"/>
      <c r="C396" s="317"/>
      <c r="D396" s="365">
        <f ca="1">OFFSET(BD!$A$2,,MATCH(D395,BD!$B$1:$P$1,0))</f>
        <v>44517</v>
      </c>
      <c r="E396" s="317"/>
      <c r="F396" s="317"/>
      <c r="G396" s="365">
        <f ca="1">OFFSET(BD!$A$2,,MATCH(G395,BD!$B$1:$P$1,0))</f>
        <v>0</v>
      </c>
      <c r="H396" s="317"/>
      <c r="I396" s="317"/>
      <c r="J396" s="365">
        <f ca="1">OFFSET(BD!$A$2,,MATCH(J395,BD!$B$1:$P$1,0))</f>
        <v>0</v>
      </c>
      <c r="K396" s="317"/>
      <c r="L396" s="317"/>
      <c r="M396" s="365">
        <f ca="1">OFFSET(BD!$A$2,,MATCH(M395,BD!$B$1:$P$1,0))</f>
        <v>0</v>
      </c>
      <c r="N396" s="317"/>
      <c r="O396" s="317"/>
      <c r="P396" s="317"/>
    </row>
    <row r="397" spans="1:16" ht="15.75" customHeight="1">
      <c r="A397" s="476" t="s">
        <v>169</v>
      </c>
      <c r="B397" s="294"/>
      <c r="C397" s="294"/>
      <c r="D397" s="468">
        <f ca="1">OFFSET(BD!$A113,0,MATCH(D$395,BD!$B$1:$P$1,0))</f>
        <v>88.5</v>
      </c>
      <c r="E397" s="294"/>
      <c r="F397" s="434">
        <f ca="1">IF(OR(D397="-",G397="-"),"-",(G397-D397)*100/D397)</f>
        <v>-100</v>
      </c>
      <c r="G397" s="468">
        <f ca="1">OFFSET(BD!$A113,0,MATCH(G$395,BD!$B$1:$P$1,0))</f>
        <v>0</v>
      </c>
      <c r="H397" s="294"/>
      <c r="I397" s="434" t="e">
        <f ca="1">IF(OR(G397="-",J397="-"),"-",(J397-G397)*100/G397)</f>
        <v>#DIV/0!</v>
      </c>
      <c r="J397" s="468">
        <f ca="1">OFFSET(BD!$A113,0,MATCH(J$395,BD!$B$1:$P$1,0))</f>
        <v>0</v>
      </c>
      <c r="K397" s="294"/>
      <c r="L397" s="434" t="e">
        <f ca="1">IF(OR(J397="-",M397="-"),"-",(M397-J397)*100/J397)</f>
        <v>#DIV/0!</v>
      </c>
      <c r="M397" s="468">
        <f ca="1">OFFSET(BD!$A113,0,MATCH(M$395,BD!$B$1:$P$1,0))</f>
        <v>0</v>
      </c>
      <c r="N397" s="294"/>
      <c r="O397" s="468" t="e">
        <f ca="1">'BD tratado'!D113</f>
        <v>#NAME?</v>
      </c>
      <c r="P397" s="294"/>
    </row>
    <row r="398" spans="1:16" ht="15.75" customHeight="1">
      <c r="A398" s="294"/>
      <c r="B398" s="294"/>
      <c r="C398" s="294"/>
      <c r="D398" s="294"/>
      <c r="E398" s="294"/>
      <c r="F398" s="294"/>
      <c r="G398" s="294"/>
      <c r="H398" s="294"/>
      <c r="I398" s="294"/>
      <c r="J398" s="294"/>
      <c r="K398" s="294"/>
      <c r="L398" s="294"/>
      <c r="M398" s="294"/>
      <c r="N398" s="294"/>
      <c r="O398" s="294"/>
      <c r="P398" s="294"/>
    </row>
    <row r="399" spans="1:16" ht="15.75" customHeight="1">
      <c r="A399" s="476" t="s">
        <v>168</v>
      </c>
      <c r="B399" s="294"/>
      <c r="C399" s="294"/>
      <c r="D399" s="475">
        <f ca="1">OFFSET(BD!$A114,0,MATCH(D$395,BD!$B$1:$P$1,0))</f>
        <v>0.94148936170212771</v>
      </c>
      <c r="E399" s="294"/>
      <c r="F399" s="434" t="str">
        <f ca="1">IF(OR(D399="-",G399="-"),"-",(G399-D399)*100/D399)</f>
        <v>-</v>
      </c>
      <c r="G399" s="475" t="str">
        <f ca="1">OFFSET(BD!$A114,0,MATCH(G$395,BD!$B$1:$P$1,0))</f>
        <v>-</v>
      </c>
      <c r="H399" s="294"/>
      <c r="I399" s="434" t="str">
        <f ca="1">IF(OR(G399="-",J399="-"),"-",(J399-G399)*100/G399)</f>
        <v>-</v>
      </c>
      <c r="J399" s="475" t="str">
        <f ca="1">OFFSET(BD!$A114,0,MATCH(J$395,BD!$B$1:$P$1,0))</f>
        <v>-</v>
      </c>
      <c r="K399" s="294"/>
      <c r="L399" s="434" t="str">
        <f ca="1">IF(OR(J399="-",M399="-"),"-",(M399-J399)*100/J399)</f>
        <v>-</v>
      </c>
      <c r="M399" s="475" t="str">
        <f ca="1">OFFSET(BD!$A114,0,MATCH(M$395,BD!$B$1:$P$1,0))</f>
        <v>-</v>
      </c>
      <c r="N399" s="294"/>
      <c r="O399" s="468" t="e">
        <f ca="1">'BD tratado'!D114</f>
        <v>#NAME?</v>
      </c>
      <c r="P399" s="294"/>
    </row>
    <row r="400" spans="1:16" ht="15.75" customHeight="1">
      <c r="A400" s="294"/>
      <c r="B400" s="294"/>
      <c r="C400" s="294"/>
      <c r="D400" s="294"/>
      <c r="E400" s="294"/>
      <c r="F400" s="294"/>
      <c r="G400" s="294"/>
      <c r="H400" s="294"/>
      <c r="I400" s="294"/>
      <c r="J400" s="294"/>
      <c r="K400" s="294"/>
      <c r="L400" s="294"/>
      <c r="M400" s="294"/>
      <c r="N400" s="294"/>
      <c r="O400" s="294"/>
      <c r="P400" s="294"/>
    </row>
    <row r="401" spans="1:16" ht="15.75" customHeight="1">
      <c r="A401" s="476" t="s">
        <v>171</v>
      </c>
      <c r="B401" s="294"/>
      <c r="C401" s="294"/>
      <c r="D401" s="331" t="str">
        <f ca="1">OFFSET(BD!$A115,0,MATCH(D$395,BD!$B$1:$P$1,0))</f>
        <v>Moderado</v>
      </c>
      <c r="E401" s="294"/>
      <c r="F401" s="434"/>
      <c r="G401" s="331" t="str">
        <f ca="1">OFFSET(BD!$A115,0,MATCH(G$395,BD!$B$1:$P$1,0))</f>
        <v>-</v>
      </c>
      <c r="H401" s="294"/>
      <c r="I401" s="331"/>
      <c r="J401" s="331" t="str">
        <f ca="1">OFFSET(BD!$A115,0,MATCH(J$395,BD!$B$1:$P$1,0))</f>
        <v>-</v>
      </c>
      <c r="K401" s="294"/>
      <c r="L401" s="331"/>
      <c r="M401" s="331" t="str">
        <f ca="1">OFFSET(BD!$A115,0,MATCH(M$395,BD!$B$1:$P$1,0))</f>
        <v>-</v>
      </c>
      <c r="N401" s="294"/>
      <c r="O401" s="479" t="e">
        <f ca="1">'BD tratado'!D115</f>
        <v>#NAME?</v>
      </c>
      <c r="P401" s="294"/>
    </row>
    <row r="402" spans="1:16" ht="15.75" customHeight="1">
      <c r="A402" s="317"/>
      <c r="B402" s="317"/>
      <c r="C402" s="317"/>
      <c r="D402" s="317"/>
      <c r="E402" s="317"/>
      <c r="F402" s="317"/>
      <c r="G402" s="317"/>
      <c r="H402" s="317"/>
      <c r="I402" s="317"/>
      <c r="J402" s="317"/>
      <c r="K402" s="317"/>
      <c r="L402" s="317"/>
      <c r="M402" s="317"/>
      <c r="N402" s="317"/>
      <c r="O402" s="317"/>
      <c r="P402" s="317"/>
    </row>
    <row r="403" spans="1:16" ht="15.75" customHeight="1">
      <c r="A403" s="68"/>
      <c r="B403" s="68"/>
      <c r="C403" s="68"/>
      <c r="D403" s="68"/>
      <c r="E403" s="68"/>
      <c r="F403" s="68"/>
      <c r="G403" s="68"/>
      <c r="H403" s="68"/>
      <c r="I403" s="68"/>
      <c r="J403" s="68"/>
      <c r="K403" s="68"/>
      <c r="L403" s="68"/>
      <c r="M403" s="68"/>
      <c r="N403" s="68"/>
      <c r="O403" s="68"/>
      <c r="P403" s="68"/>
    </row>
    <row r="404" spans="1:16" ht="15.75" customHeight="1">
      <c r="A404" s="331"/>
      <c r="B404" s="294"/>
      <c r="C404" s="294"/>
      <c r="D404" s="294"/>
      <c r="E404" s="294"/>
      <c r="F404" s="294"/>
      <c r="G404" s="294"/>
      <c r="H404" s="294"/>
      <c r="I404" s="294"/>
      <c r="J404" s="294"/>
      <c r="K404" s="294"/>
      <c r="L404" s="294"/>
      <c r="M404" s="294"/>
      <c r="N404" s="294"/>
      <c r="O404" s="294"/>
      <c r="P404" s="294"/>
    </row>
    <row r="405" spans="1:16" ht="15.75" customHeight="1">
      <c r="A405" s="294"/>
      <c r="B405" s="294"/>
      <c r="C405" s="294"/>
      <c r="D405" s="294"/>
      <c r="E405" s="294"/>
      <c r="F405" s="294"/>
      <c r="G405" s="294"/>
      <c r="H405" s="294"/>
      <c r="I405" s="294"/>
      <c r="J405" s="294"/>
      <c r="K405" s="294"/>
      <c r="L405" s="294"/>
      <c r="M405" s="294"/>
      <c r="N405" s="294"/>
      <c r="O405" s="294"/>
      <c r="P405" s="294"/>
    </row>
    <row r="406" spans="1:16" ht="15.75" customHeight="1">
      <c r="A406" s="294"/>
      <c r="B406" s="294"/>
      <c r="C406" s="294"/>
      <c r="D406" s="294"/>
      <c r="E406" s="294"/>
      <c r="F406" s="294"/>
      <c r="G406" s="294"/>
      <c r="H406" s="294"/>
      <c r="I406" s="294"/>
      <c r="J406" s="294"/>
      <c r="K406" s="294"/>
      <c r="L406" s="294"/>
      <c r="M406" s="294"/>
      <c r="N406" s="294"/>
      <c r="O406" s="294"/>
      <c r="P406" s="294"/>
    </row>
    <row r="407" spans="1:16" ht="15.75" customHeight="1">
      <c r="A407" s="294"/>
      <c r="B407" s="294"/>
      <c r="C407" s="294"/>
      <c r="D407" s="294"/>
      <c r="E407" s="294"/>
      <c r="F407" s="294"/>
      <c r="G407" s="294"/>
      <c r="H407" s="294"/>
      <c r="I407" s="294"/>
      <c r="J407" s="294"/>
      <c r="K407" s="294"/>
      <c r="L407" s="294"/>
      <c r="M407" s="294"/>
      <c r="N407" s="294"/>
      <c r="O407" s="294"/>
      <c r="P407" s="294"/>
    </row>
    <row r="408" spans="1:16" ht="15.75" customHeight="1">
      <c r="A408" s="294"/>
      <c r="B408" s="294"/>
      <c r="C408" s="294"/>
      <c r="D408" s="294"/>
      <c r="E408" s="294"/>
      <c r="F408" s="294"/>
      <c r="G408" s="294"/>
      <c r="H408" s="294"/>
      <c r="I408" s="294"/>
      <c r="J408" s="294"/>
      <c r="K408" s="294"/>
      <c r="L408" s="294"/>
      <c r="M408" s="294"/>
      <c r="N408" s="294"/>
      <c r="O408" s="294"/>
      <c r="P408" s="294"/>
    </row>
    <row r="409" spans="1:16" ht="15.75" customHeight="1">
      <c r="A409" s="294"/>
      <c r="B409" s="294"/>
      <c r="C409" s="294"/>
      <c r="D409" s="294"/>
      <c r="E409" s="294"/>
      <c r="F409" s="294"/>
      <c r="G409" s="294"/>
      <c r="H409" s="294"/>
      <c r="I409" s="294"/>
      <c r="J409" s="294"/>
      <c r="K409" s="294"/>
      <c r="L409" s="294"/>
      <c r="M409" s="294"/>
      <c r="N409" s="294"/>
      <c r="O409" s="294"/>
      <c r="P409" s="294"/>
    </row>
    <row r="410" spans="1:16" ht="15.75" customHeight="1">
      <c r="A410" s="294"/>
      <c r="B410" s="294"/>
      <c r="C410" s="294"/>
      <c r="D410" s="294"/>
      <c r="E410" s="294"/>
      <c r="F410" s="294"/>
      <c r="G410" s="294"/>
      <c r="H410" s="294"/>
      <c r="I410" s="294"/>
      <c r="J410" s="294"/>
      <c r="K410" s="294"/>
      <c r="L410" s="294"/>
      <c r="M410" s="294"/>
      <c r="N410" s="294"/>
      <c r="O410" s="294"/>
      <c r="P410" s="294"/>
    </row>
    <row r="411" spans="1:16" ht="15.75" customHeight="1">
      <c r="A411" s="294"/>
      <c r="B411" s="294"/>
      <c r="C411" s="294"/>
      <c r="D411" s="294"/>
      <c r="E411" s="294"/>
      <c r="F411" s="294"/>
      <c r="G411" s="294"/>
      <c r="H411" s="294"/>
      <c r="I411" s="294"/>
      <c r="J411" s="294"/>
      <c r="K411" s="294"/>
      <c r="L411" s="294"/>
      <c r="M411" s="294"/>
      <c r="N411" s="294"/>
      <c r="O411" s="294"/>
      <c r="P411" s="294"/>
    </row>
    <row r="412" spans="1:16" ht="15.75" customHeight="1">
      <c r="A412" s="294"/>
      <c r="B412" s="294"/>
      <c r="C412" s="294"/>
      <c r="D412" s="294"/>
      <c r="E412" s="294"/>
      <c r="F412" s="294"/>
      <c r="G412" s="294"/>
      <c r="H412" s="294"/>
      <c r="I412" s="294"/>
      <c r="J412" s="294"/>
      <c r="K412" s="294"/>
      <c r="L412" s="294"/>
      <c r="M412" s="294"/>
      <c r="N412" s="294"/>
      <c r="O412" s="294"/>
      <c r="P412" s="294"/>
    </row>
    <row r="413" spans="1:16" ht="15.75" customHeight="1">
      <c r="A413" s="294"/>
      <c r="B413" s="294"/>
      <c r="C413" s="294"/>
      <c r="D413" s="294"/>
      <c r="E413" s="294"/>
      <c r="F413" s="294"/>
      <c r="G413" s="294"/>
      <c r="H413" s="294"/>
      <c r="I413" s="294"/>
      <c r="J413" s="294"/>
      <c r="K413" s="294"/>
      <c r="L413" s="294"/>
      <c r="M413" s="294"/>
      <c r="N413" s="294"/>
      <c r="O413" s="294"/>
      <c r="P413" s="294"/>
    </row>
    <row r="414" spans="1:16" ht="15.75" customHeight="1">
      <c r="A414" s="294"/>
      <c r="B414" s="294"/>
      <c r="C414" s="294"/>
      <c r="D414" s="294"/>
      <c r="E414" s="294"/>
      <c r="F414" s="294"/>
      <c r="G414" s="294"/>
      <c r="H414" s="294"/>
      <c r="I414" s="294"/>
      <c r="J414" s="294"/>
      <c r="K414" s="294"/>
      <c r="L414" s="294"/>
      <c r="M414" s="294"/>
      <c r="N414" s="294"/>
      <c r="O414" s="294"/>
      <c r="P414" s="294"/>
    </row>
    <row r="415" spans="1:16" ht="15.75" customHeight="1">
      <c r="A415" s="294"/>
      <c r="B415" s="294"/>
      <c r="C415" s="294"/>
      <c r="D415" s="294"/>
      <c r="E415" s="294"/>
      <c r="F415" s="294"/>
      <c r="G415" s="294"/>
      <c r="H415" s="294"/>
      <c r="I415" s="294"/>
      <c r="J415" s="294"/>
      <c r="K415" s="294"/>
      <c r="L415" s="294"/>
      <c r="M415" s="294"/>
      <c r="N415" s="294"/>
      <c r="O415" s="294"/>
      <c r="P415" s="294"/>
    </row>
    <row r="416" spans="1:16" ht="15.75" customHeight="1">
      <c r="A416" s="294"/>
      <c r="B416" s="294"/>
      <c r="C416" s="294"/>
      <c r="D416" s="294"/>
      <c r="E416" s="294"/>
      <c r="F416" s="294"/>
      <c r="G416" s="294"/>
      <c r="H416" s="294"/>
      <c r="I416" s="294"/>
      <c r="J416" s="294"/>
      <c r="K416" s="294"/>
      <c r="L416" s="294"/>
      <c r="M416" s="294"/>
      <c r="N416" s="294"/>
      <c r="O416" s="294"/>
      <c r="P416" s="294"/>
    </row>
    <row r="417" spans="1:16" ht="15.75" customHeight="1">
      <c r="A417" s="294"/>
      <c r="B417" s="294"/>
      <c r="C417" s="294"/>
      <c r="D417" s="294"/>
      <c r="E417" s="294"/>
      <c r="F417" s="294"/>
      <c r="G417" s="294"/>
      <c r="H417" s="294"/>
      <c r="I417" s="294"/>
      <c r="J417" s="294"/>
      <c r="K417" s="294"/>
      <c r="L417" s="294"/>
      <c r="M417" s="294"/>
      <c r="N417" s="294"/>
      <c r="O417" s="294"/>
      <c r="P417" s="294"/>
    </row>
    <row r="418" spans="1:16" ht="15.75" customHeight="1">
      <c r="A418" s="68"/>
      <c r="B418" s="68"/>
      <c r="C418" s="68"/>
      <c r="D418" s="68"/>
      <c r="E418" s="68"/>
      <c r="F418" s="68"/>
      <c r="G418" s="68"/>
      <c r="H418" s="68"/>
      <c r="I418" s="68"/>
      <c r="J418" s="68"/>
      <c r="K418" s="68"/>
      <c r="L418" s="68"/>
      <c r="M418" s="68"/>
      <c r="N418" s="68"/>
      <c r="O418" s="68"/>
      <c r="P418" s="68"/>
    </row>
    <row r="419" spans="1:16" ht="15.75" customHeight="1">
      <c r="A419" s="68"/>
      <c r="B419" s="68"/>
      <c r="C419" s="68"/>
      <c r="D419" s="68"/>
      <c r="E419" s="68"/>
      <c r="F419" s="68"/>
      <c r="G419" s="68"/>
      <c r="H419" s="68"/>
      <c r="I419" s="68"/>
      <c r="J419" s="68"/>
      <c r="K419" s="68"/>
      <c r="L419" s="68"/>
      <c r="M419" s="68"/>
      <c r="N419" s="68"/>
      <c r="O419" s="68"/>
      <c r="P419" s="68"/>
    </row>
    <row r="420" spans="1:16" ht="15.75" customHeight="1">
      <c r="A420" s="68"/>
      <c r="B420" s="68"/>
      <c r="C420" s="68"/>
      <c r="D420" s="68"/>
      <c r="E420" s="68"/>
      <c r="F420" s="68"/>
      <c r="G420" s="68"/>
      <c r="H420" s="68"/>
      <c r="I420" s="68"/>
      <c r="J420" s="68"/>
      <c r="K420" s="68"/>
      <c r="L420" s="68"/>
      <c r="M420" s="68"/>
      <c r="N420" s="68"/>
      <c r="O420" s="68"/>
      <c r="P420" s="68"/>
    </row>
    <row r="421" spans="1:16" ht="15.75" customHeight="1">
      <c r="A421" s="68"/>
      <c r="B421" s="68"/>
      <c r="C421" s="68"/>
      <c r="D421" s="68"/>
      <c r="E421" s="68"/>
      <c r="F421" s="68"/>
      <c r="G421" s="68"/>
      <c r="H421" s="68"/>
      <c r="I421" s="68"/>
      <c r="J421" s="68"/>
      <c r="K421" s="68"/>
      <c r="L421" s="68"/>
      <c r="M421" s="68"/>
      <c r="N421" s="68"/>
      <c r="O421" s="68"/>
      <c r="P421" s="68"/>
    </row>
    <row r="422" spans="1:16" ht="15.75" customHeight="1">
      <c r="A422" s="68"/>
      <c r="B422" s="68"/>
      <c r="C422" s="68"/>
      <c r="D422" s="68"/>
      <c r="E422" s="68"/>
      <c r="F422" s="68"/>
      <c r="G422" s="68"/>
      <c r="H422" s="68"/>
      <c r="I422" s="68"/>
      <c r="J422" s="68"/>
      <c r="K422" s="68"/>
      <c r="L422" s="68"/>
      <c r="M422" s="68"/>
      <c r="N422" s="68"/>
      <c r="O422" s="68"/>
      <c r="P422" s="68"/>
    </row>
    <row r="423" spans="1:16" ht="15.75" customHeight="1">
      <c r="A423" s="68"/>
      <c r="B423" s="68"/>
      <c r="C423" s="68"/>
      <c r="D423" s="68"/>
      <c r="E423" s="68"/>
      <c r="F423" s="68"/>
      <c r="G423" s="68"/>
      <c r="H423" s="68"/>
      <c r="I423" s="68"/>
      <c r="J423" s="68"/>
      <c r="K423" s="68"/>
      <c r="L423" s="68"/>
      <c r="M423" s="68"/>
      <c r="N423" s="68"/>
      <c r="O423" s="68"/>
      <c r="P423" s="68"/>
    </row>
    <row r="424" spans="1:16" ht="15.75" customHeight="1">
      <c r="A424" s="68"/>
      <c r="B424" s="68"/>
      <c r="C424" s="68"/>
      <c r="D424" s="68"/>
      <c r="E424" s="68"/>
      <c r="F424" s="68"/>
      <c r="G424" s="68"/>
      <c r="H424" s="68"/>
      <c r="I424" s="68"/>
      <c r="J424" s="68"/>
      <c r="K424" s="68"/>
      <c r="L424" s="68"/>
      <c r="M424" s="68"/>
      <c r="N424" s="68"/>
      <c r="O424" s="68"/>
      <c r="P424" s="68"/>
    </row>
    <row r="425" spans="1:16" ht="15.75" customHeight="1">
      <c r="A425" s="68"/>
      <c r="B425" s="68"/>
      <c r="C425" s="68"/>
      <c r="D425" s="68"/>
      <c r="E425" s="68"/>
      <c r="F425" s="68"/>
      <c r="G425" s="68"/>
      <c r="H425" s="68"/>
      <c r="I425" s="68"/>
      <c r="J425" s="68"/>
      <c r="K425" s="68"/>
      <c r="L425" s="68"/>
      <c r="M425" s="68"/>
      <c r="N425" s="68"/>
      <c r="O425" s="68"/>
      <c r="P425" s="68"/>
    </row>
    <row r="426" spans="1:16" ht="15.75" customHeight="1">
      <c r="A426" s="68"/>
      <c r="B426" s="68"/>
      <c r="C426" s="68"/>
      <c r="D426" s="68"/>
      <c r="E426" s="68"/>
      <c r="F426" s="68"/>
      <c r="G426" s="68"/>
      <c r="H426" s="68"/>
      <c r="I426" s="68"/>
      <c r="J426" s="68"/>
      <c r="K426" s="68"/>
      <c r="L426" s="68"/>
      <c r="M426" s="68"/>
      <c r="N426" s="68"/>
      <c r="O426" s="68"/>
      <c r="P426" s="68"/>
    </row>
    <row r="427" spans="1:16" ht="15.75" customHeight="1">
      <c r="A427" s="68"/>
      <c r="B427" s="68"/>
      <c r="C427" s="68"/>
      <c r="D427" s="68"/>
      <c r="E427" s="68"/>
      <c r="F427" s="68"/>
      <c r="G427" s="68"/>
      <c r="H427" s="68"/>
      <c r="I427" s="68"/>
      <c r="J427" s="68"/>
      <c r="K427" s="68"/>
      <c r="L427" s="68"/>
      <c r="M427" s="68"/>
      <c r="N427" s="68"/>
      <c r="O427" s="68"/>
      <c r="P427" s="68"/>
    </row>
    <row r="428" spans="1:16" ht="15.75" customHeight="1">
      <c r="A428" s="68"/>
      <c r="B428" s="68"/>
      <c r="C428" s="68"/>
      <c r="D428" s="68"/>
      <c r="E428" s="68"/>
      <c r="F428" s="68"/>
      <c r="G428" s="68"/>
      <c r="H428" s="68"/>
      <c r="I428" s="68"/>
      <c r="J428" s="68"/>
      <c r="K428" s="68"/>
      <c r="L428" s="68"/>
      <c r="M428" s="68"/>
      <c r="N428" s="68"/>
      <c r="O428" s="68"/>
      <c r="P428" s="68"/>
    </row>
    <row r="429" spans="1:16" ht="15.75" customHeight="1">
      <c r="A429" s="68"/>
      <c r="B429" s="68"/>
      <c r="C429" s="68"/>
      <c r="D429" s="68"/>
      <c r="E429" s="68"/>
      <c r="F429" s="68"/>
      <c r="G429" s="68"/>
      <c r="H429" s="68"/>
      <c r="I429" s="68"/>
      <c r="J429" s="68"/>
      <c r="K429" s="68"/>
      <c r="L429" s="68"/>
      <c r="M429" s="68"/>
      <c r="N429" s="68"/>
      <c r="O429" s="68"/>
      <c r="P429" s="68"/>
    </row>
    <row r="430" spans="1:16" ht="15.75" customHeight="1">
      <c r="A430" s="68"/>
      <c r="B430" s="68"/>
      <c r="C430" s="68"/>
      <c r="D430" s="68"/>
      <c r="E430" s="68"/>
      <c r="F430" s="68"/>
      <c r="G430" s="68"/>
      <c r="H430" s="68"/>
      <c r="I430" s="68"/>
      <c r="J430" s="68"/>
      <c r="K430" s="68"/>
      <c r="L430" s="68"/>
      <c r="M430" s="68"/>
      <c r="N430" s="68"/>
      <c r="O430" s="68"/>
      <c r="P430" s="68"/>
    </row>
    <row r="431" spans="1:16" ht="15.75" customHeight="1">
      <c r="A431" s="68"/>
      <c r="B431" s="68"/>
      <c r="C431" s="68"/>
      <c r="D431" s="68"/>
      <c r="E431" s="68"/>
      <c r="F431" s="68"/>
      <c r="G431" s="68"/>
      <c r="H431" s="68"/>
      <c r="I431" s="68"/>
      <c r="J431" s="68"/>
      <c r="K431" s="68"/>
      <c r="L431" s="68"/>
      <c r="M431" s="68"/>
      <c r="N431" s="68"/>
      <c r="O431" s="68"/>
      <c r="P431" s="68"/>
    </row>
    <row r="432" spans="1:16" ht="15.75" customHeight="1">
      <c r="A432" s="68"/>
      <c r="B432" s="68"/>
      <c r="C432" s="68"/>
      <c r="D432" s="68"/>
      <c r="E432" s="68"/>
      <c r="F432" s="68"/>
      <c r="G432" s="68"/>
      <c r="H432" s="68"/>
      <c r="I432" s="68"/>
      <c r="J432" s="68"/>
      <c r="K432" s="68"/>
      <c r="L432" s="68"/>
      <c r="M432" s="68"/>
      <c r="N432" s="68"/>
      <c r="O432" s="68"/>
      <c r="P432" s="68"/>
    </row>
    <row r="433" spans="1:16" ht="15.75" customHeight="1">
      <c r="A433" s="392" t="s">
        <v>398</v>
      </c>
      <c r="B433" s="294"/>
      <c r="C433" s="294"/>
      <c r="D433" s="294"/>
      <c r="E433" s="294"/>
      <c r="F433" s="294"/>
      <c r="G433" s="294"/>
      <c r="H433" s="294"/>
      <c r="I433" s="294"/>
      <c r="J433" s="294"/>
      <c r="K433" s="294"/>
      <c r="L433" s="294"/>
      <c r="M433" s="294"/>
      <c r="N433" s="294"/>
      <c r="O433" s="294"/>
      <c r="P433" s="294"/>
    </row>
    <row r="434" spans="1:16" ht="15.75" customHeight="1">
      <c r="A434" s="294"/>
      <c r="B434" s="294"/>
      <c r="C434" s="294"/>
      <c r="D434" s="294"/>
      <c r="E434" s="294"/>
      <c r="F434" s="294"/>
      <c r="G434" s="294"/>
      <c r="H434" s="294"/>
      <c r="I434" s="294"/>
      <c r="J434" s="294"/>
      <c r="K434" s="294"/>
      <c r="L434" s="294"/>
      <c r="M434" s="294"/>
      <c r="N434" s="294"/>
      <c r="O434" s="294"/>
      <c r="P434" s="294"/>
    </row>
    <row r="435" spans="1:16" ht="15.75" customHeight="1">
      <c r="A435" s="350" t="s">
        <v>399</v>
      </c>
      <c r="B435" s="319"/>
      <c r="C435" s="319"/>
      <c r="D435" s="431" t="str">
        <f>$D$100</f>
        <v>Av1</v>
      </c>
      <c r="E435" s="319"/>
      <c r="F435" s="432" t="s">
        <v>39</v>
      </c>
      <c r="G435" s="431" t="str">
        <f ca="1">$G$100</f>
        <v>Av13</v>
      </c>
      <c r="H435" s="319"/>
      <c r="I435" s="432" t="s">
        <v>39</v>
      </c>
      <c r="J435" s="431" t="str">
        <f ca="1">$J$100</f>
        <v>Av14</v>
      </c>
      <c r="K435" s="319"/>
      <c r="L435" s="432" t="s">
        <v>39</v>
      </c>
      <c r="M435" s="431" t="str">
        <f ca="1">$M$100</f>
        <v>Av15</v>
      </c>
      <c r="N435" s="319"/>
      <c r="O435" s="431" t="s">
        <v>356</v>
      </c>
      <c r="P435" s="319"/>
    </row>
    <row r="436" spans="1:16" ht="15.75" customHeight="1">
      <c r="A436" s="317"/>
      <c r="B436" s="317"/>
      <c r="C436" s="317"/>
      <c r="D436" s="365">
        <f ca="1">OFFSET(BD!$A$2,,MATCH(D435,BD!$B$1:$P$1,0))</f>
        <v>44517</v>
      </c>
      <c r="E436" s="317"/>
      <c r="F436" s="317"/>
      <c r="G436" s="365">
        <f ca="1">OFFSET(BD!$A$2,,MATCH(G435,BD!$B$1:$P$1,0))</f>
        <v>0</v>
      </c>
      <c r="H436" s="317"/>
      <c r="I436" s="317"/>
      <c r="J436" s="365">
        <f ca="1">OFFSET(BD!$A$2,,MATCH(J435,BD!$B$1:$P$1,0))</f>
        <v>0</v>
      </c>
      <c r="K436" s="317"/>
      <c r="L436" s="317"/>
      <c r="M436" s="365">
        <f ca="1">OFFSET(BD!$A$2,,MATCH(M435,BD!$B$1:$P$1,0))</f>
        <v>0</v>
      </c>
      <c r="N436" s="317"/>
      <c r="O436" s="317"/>
      <c r="P436" s="317"/>
    </row>
    <row r="437" spans="1:16" ht="15.75" customHeight="1">
      <c r="A437" s="321" t="s">
        <v>173</v>
      </c>
      <c r="B437" s="294"/>
      <c r="C437" s="294"/>
      <c r="D437" s="468">
        <f ca="1">OFFSET(BD!$A$117,0,MATCH(D$435,BD!$B$1:$P$1,0))</f>
        <v>55</v>
      </c>
      <c r="E437" s="294"/>
      <c r="F437" s="123" t="str">
        <f ca="1">IF(OR(D437="-",G437="-"),"-",(G437-D437)*100/D437)</f>
        <v>-</v>
      </c>
      <c r="G437" s="468" t="str">
        <f ca="1">OFFSET(BD!$A$117,0,MATCH(G$435,BD!$B$1:$P$1,0))</f>
        <v>-</v>
      </c>
      <c r="H437" s="294"/>
      <c r="I437" s="123" t="str">
        <f ca="1">IF(OR(G437="-",J437="-"),"-",(J437-G437)*100/G437)</f>
        <v>-</v>
      </c>
      <c r="J437" s="331" t="str">
        <f ca="1">OFFSET(BD!$A$117,0,MATCH(J$435,BD!$B$1:$P$1,0))</f>
        <v>-</v>
      </c>
      <c r="K437" s="294"/>
      <c r="L437" s="123" t="str">
        <f ca="1">IF(OR(J437="-",M437="-"),"-",(M437-J437)*100/J437)</f>
        <v>-</v>
      </c>
      <c r="M437" s="331" t="str">
        <f ca="1">OFFSET(BD!$A$117,0,MATCH(M$435,BD!$B$1:$P$1,0))</f>
        <v>-</v>
      </c>
      <c r="N437" s="294"/>
      <c r="O437" s="468" t="e">
        <f ca="1">'BD tratado'!D117</f>
        <v>#NAME?</v>
      </c>
      <c r="P437" s="294"/>
    </row>
    <row r="438" spans="1:16" ht="15.75" customHeight="1">
      <c r="A438" s="477" t="s">
        <v>175</v>
      </c>
      <c r="B438" s="294"/>
      <c r="C438" s="294"/>
      <c r="D438" s="477" t="str">
        <f ca="1">OFFSET(BD!$A$119,0,MATCH(D$435,BD!$B$1:$P$1,0))</f>
        <v>Excelente</v>
      </c>
      <c r="E438" s="294"/>
      <c r="F438" s="123"/>
      <c r="G438" s="477" t="str">
        <f ca="1">OFFSET(BD!$A$119,0,MATCH(G$435,BD!$B$1:$P$1,0))</f>
        <v>-</v>
      </c>
      <c r="H438" s="294"/>
      <c r="I438" s="123"/>
      <c r="J438" s="477" t="str">
        <f ca="1">OFFSET(BD!$A$119,0,MATCH(J$435,BD!$B$1:$P$1,0))</f>
        <v>-</v>
      </c>
      <c r="K438" s="294"/>
      <c r="L438" s="123"/>
      <c r="M438" s="477" t="str">
        <f ca="1">OFFSET(BD!$A$119,0,MATCH(M$435,BD!$B$1:$P$1,0))</f>
        <v>-</v>
      </c>
      <c r="N438" s="294"/>
      <c r="O438" s="478" t="e">
        <f ca="1">'BD tratado'!D119</f>
        <v>#NAME?</v>
      </c>
      <c r="P438" s="294"/>
    </row>
    <row r="439" spans="1:16" ht="15.75" customHeight="1">
      <c r="A439" s="321" t="s">
        <v>174</v>
      </c>
      <c r="B439" s="294"/>
      <c r="C439" s="294"/>
      <c r="D439" s="468">
        <f ca="1">OFFSET(BD!$A$118,0,MATCH(D$435,BD!$B$1:$P$1,0))</f>
        <v>27.2</v>
      </c>
      <c r="E439" s="294"/>
      <c r="F439" s="123" t="str">
        <f ca="1">IF(OR(D439="-",G439="-"),"-",(G439-D439)*100/D439)</f>
        <v>-</v>
      </c>
      <c r="G439" s="468" t="str">
        <f ca="1">OFFSET(BD!$A$118,0,MATCH(G$435,BD!$B$1:$P$1,0))</f>
        <v>-</v>
      </c>
      <c r="H439" s="294"/>
      <c r="I439" s="123" t="str">
        <f ca="1">IF(OR(G439="-",J439="-"),"-",(J439-G439)*100/G439)</f>
        <v>-</v>
      </c>
      <c r="J439" s="331" t="str">
        <f ca="1">OFFSET(BD!$A$118,0,MATCH(J$435,BD!$B$1:$P$1,0))</f>
        <v>-</v>
      </c>
      <c r="K439" s="294"/>
      <c r="L439" s="123" t="str">
        <f ca="1">IF(OR(J439="-",M439="-"),"-",(M439-J439)*100/J439)</f>
        <v>-</v>
      </c>
      <c r="M439" s="331" t="str">
        <f ca="1">OFFSET(BD!$A$118,0,MATCH(M$435,BD!$B$1:$P$1,0))</f>
        <v>-</v>
      </c>
      <c r="N439" s="294"/>
      <c r="O439" s="480" t="e">
        <f ca="1">'BD tratado'!D118</f>
        <v>#NAME?</v>
      </c>
      <c r="P439" s="294"/>
    </row>
    <row r="440" spans="1:16" ht="15.75" customHeight="1">
      <c r="A440" s="481" t="s">
        <v>176</v>
      </c>
      <c r="B440" s="317"/>
      <c r="C440" s="317"/>
      <c r="D440" s="481" t="str">
        <f ca="1">OFFSET(BD!$A$120,0,MATCH(D$435,BD!$B$1:$P$1,0))</f>
        <v>Bom</v>
      </c>
      <c r="E440" s="317"/>
      <c r="F440" s="129"/>
      <c r="G440" s="481" t="str">
        <f ca="1">OFFSET(BD!$A$120,0,MATCH(G$435,BD!$B$1:$P$1,0))</f>
        <v>-</v>
      </c>
      <c r="H440" s="317"/>
      <c r="I440" s="129"/>
      <c r="J440" s="481" t="str">
        <f ca="1">OFFSET(BD!$A$120,0,MATCH(J$435,BD!$B$1:$P$1,0))</f>
        <v>-</v>
      </c>
      <c r="K440" s="317"/>
      <c r="L440" s="129"/>
      <c r="M440" s="481" t="str">
        <f ca="1">OFFSET(BD!$A$120,0,MATCH(M$435,BD!$B$1:$P$1,0))</f>
        <v>-</v>
      </c>
      <c r="N440" s="317"/>
      <c r="O440" s="482" t="e">
        <f ca="1">'BD tratado'!D120</f>
        <v>#NAME?</v>
      </c>
      <c r="P440" s="317"/>
    </row>
    <row r="441" spans="1:16" ht="15.75" customHeight="1">
      <c r="A441" s="483" t="str">
        <f>Avaliação!A123</f>
        <v>*Obs.: [texto]</v>
      </c>
      <c r="B441" s="294"/>
      <c r="C441" s="294"/>
      <c r="D441" s="294"/>
      <c r="E441" s="294"/>
      <c r="F441" s="294"/>
      <c r="G441" s="294"/>
      <c r="H441" s="294"/>
      <c r="I441" s="294"/>
      <c r="J441" s="294"/>
      <c r="K441" s="294"/>
      <c r="L441" s="294"/>
      <c r="M441" s="294"/>
      <c r="N441" s="294"/>
      <c r="O441" s="294"/>
      <c r="P441" s="294"/>
    </row>
    <row r="442" spans="1:16" ht="15.75" customHeight="1">
      <c r="A442" s="294"/>
      <c r="B442" s="294"/>
      <c r="C442" s="294"/>
      <c r="D442" s="294"/>
      <c r="E442" s="294"/>
      <c r="F442" s="294"/>
      <c r="G442" s="294"/>
      <c r="H442" s="294"/>
      <c r="I442" s="294"/>
      <c r="J442" s="294"/>
      <c r="K442" s="294"/>
      <c r="L442" s="294"/>
      <c r="M442" s="294"/>
      <c r="N442" s="294"/>
      <c r="O442" s="294"/>
      <c r="P442" s="294"/>
    </row>
    <row r="443" spans="1:16" ht="15.75" customHeight="1">
      <c r="A443" s="331"/>
      <c r="B443" s="294"/>
      <c r="C443" s="294"/>
      <c r="D443" s="294"/>
      <c r="E443" s="294"/>
      <c r="F443" s="294"/>
      <c r="G443" s="294"/>
      <c r="H443" s="294"/>
      <c r="I443" s="294"/>
      <c r="J443" s="294"/>
      <c r="K443" s="294"/>
      <c r="L443" s="294"/>
      <c r="M443" s="294"/>
      <c r="N443" s="294"/>
      <c r="O443" s="294"/>
      <c r="P443" s="294"/>
    </row>
    <row r="444" spans="1:16" ht="15.75" customHeight="1">
      <c r="A444" s="294"/>
      <c r="B444" s="294"/>
      <c r="C444" s="294"/>
      <c r="D444" s="294"/>
      <c r="E444" s="294"/>
      <c r="F444" s="294"/>
      <c r="G444" s="294"/>
      <c r="H444" s="294"/>
      <c r="I444" s="294"/>
      <c r="J444" s="294"/>
      <c r="K444" s="294"/>
      <c r="L444" s="294"/>
      <c r="M444" s="294"/>
      <c r="N444" s="294"/>
      <c r="O444" s="294"/>
      <c r="P444" s="294"/>
    </row>
    <row r="445" spans="1:16" ht="15.75" customHeight="1">
      <c r="A445" s="294"/>
      <c r="B445" s="294"/>
      <c r="C445" s="294"/>
      <c r="D445" s="294"/>
      <c r="E445" s="294"/>
      <c r="F445" s="294"/>
      <c r="G445" s="294"/>
      <c r="H445" s="294"/>
      <c r="I445" s="294"/>
      <c r="J445" s="294"/>
      <c r="K445" s="294"/>
      <c r="L445" s="294"/>
      <c r="M445" s="294"/>
      <c r="N445" s="294"/>
      <c r="O445" s="294"/>
      <c r="P445" s="294"/>
    </row>
    <row r="446" spans="1:16" ht="15.75" customHeight="1">
      <c r="A446" s="294"/>
      <c r="B446" s="294"/>
      <c r="C446" s="294"/>
      <c r="D446" s="294"/>
      <c r="E446" s="294"/>
      <c r="F446" s="294"/>
      <c r="G446" s="294"/>
      <c r="H446" s="294"/>
      <c r="I446" s="294"/>
      <c r="J446" s="294"/>
      <c r="K446" s="294"/>
      <c r="L446" s="294"/>
      <c r="M446" s="294"/>
      <c r="N446" s="294"/>
      <c r="O446" s="294"/>
      <c r="P446" s="294"/>
    </row>
    <row r="447" spans="1:16" ht="15.75" customHeight="1">
      <c r="A447" s="294"/>
      <c r="B447" s="294"/>
      <c r="C447" s="294"/>
      <c r="D447" s="294"/>
      <c r="E447" s="294"/>
      <c r="F447" s="294"/>
      <c r="G447" s="294"/>
      <c r="H447" s="294"/>
      <c r="I447" s="294"/>
      <c r="J447" s="294"/>
      <c r="K447" s="294"/>
      <c r="L447" s="294"/>
      <c r="M447" s="294"/>
      <c r="N447" s="294"/>
      <c r="O447" s="294"/>
      <c r="P447" s="294"/>
    </row>
    <row r="448" spans="1:16" ht="15.75" customHeight="1">
      <c r="A448" s="294"/>
      <c r="B448" s="294"/>
      <c r="C448" s="294"/>
      <c r="D448" s="294"/>
      <c r="E448" s="294"/>
      <c r="F448" s="294"/>
      <c r="G448" s="294"/>
      <c r="H448" s="294"/>
      <c r="I448" s="294"/>
      <c r="J448" s="294"/>
      <c r="K448" s="294"/>
      <c r="L448" s="294"/>
      <c r="M448" s="294"/>
      <c r="N448" s="294"/>
      <c r="O448" s="294"/>
      <c r="P448" s="294"/>
    </row>
    <row r="449" spans="1:16" ht="15.75" customHeight="1">
      <c r="A449" s="294"/>
      <c r="B449" s="294"/>
      <c r="C449" s="294"/>
      <c r="D449" s="294"/>
      <c r="E449" s="294"/>
      <c r="F449" s="294"/>
      <c r="G449" s="294"/>
      <c r="H449" s="294"/>
      <c r="I449" s="294"/>
      <c r="J449" s="294"/>
      <c r="K449" s="294"/>
      <c r="L449" s="294"/>
      <c r="M449" s="294"/>
      <c r="N449" s="294"/>
      <c r="O449" s="294"/>
      <c r="P449" s="294"/>
    </row>
    <row r="450" spans="1:16" ht="15.75" customHeight="1">
      <c r="A450" s="294"/>
      <c r="B450" s="294"/>
      <c r="C450" s="294"/>
      <c r="D450" s="294"/>
      <c r="E450" s="294"/>
      <c r="F450" s="294"/>
      <c r="G450" s="294"/>
      <c r="H450" s="294"/>
      <c r="I450" s="294"/>
      <c r="J450" s="294"/>
      <c r="K450" s="294"/>
      <c r="L450" s="294"/>
      <c r="M450" s="294"/>
      <c r="N450" s="294"/>
      <c r="O450" s="294"/>
      <c r="P450" s="294"/>
    </row>
    <row r="451" spans="1:16" ht="15.75" customHeight="1">
      <c r="A451" s="294"/>
      <c r="B451" s="294"/>
      <c r="C451" s="294"/>
      <c r="D451" s="294"/>
      <c r="E451" s="294"/>
      <c r="F451" s="294"/>
      <c r="G451" s="294"/>
      <c r="H451" s="294"/>
      <c r="I451" s="294"/>
      <c r="J451" s="294"/>
      <c r="K451" s="294"/>
      <c r="L451" s="294"/>
      <c r="M451" s="294"/>
      <c r="N451" s="294"/>
      <c r="O451" s="294"/>
      <c r="P451" s="294"/>
    </row>
    <row r="452" spans="1:16" ht="15.75" customHeight="1">
      <c r="A452" s="294"/>
      <c r="B452" s="294"/>
      <c r="C452" s="294"/>
      <c r="D452" s="294"/>
      <c r="E452" s="294"/>
      <c r="F452" s="294"/>
      <c r="G452" s="294"/>
      <c r="H452" s="294"/>
      <c r="I452" s="294"/>
      <c r="J452" s="294"/>
      <c r="K452" s="294"/>
      <c r="L452" s="294"/>
      <c r="M452" s="294"/>
      <c r="N452" s="294"/>
      <c r="O452" s="294"/>
      <c r="P452" s="294"/>
    </row>
    <row r="453" spans="1:16" ht="15.75" customHeight="1">
      <c r="A453" s="294"/>
      <c r="B453" s="294"/>
      <c r="C453" s="294"/>
      <c r="D453" s="294"/>
      <c r="E453" s="294"/>
      <c r="F453" s="294"/>
      <c r="G453" s="294"/>
      <c r="H453" s="294"/>
      <c r="I453" s="294"/>
      <c r="J453" s="294"/>
      <c r="K453" s="294"/>
      <c r="L453" s="294"/>
      <c r="M453" s="294"/>
      <c r="N453" s="294"/>
      <c r="O453" s="294"/>
      <c r="P453" s="294"/>
    </row>
    <row r="454" spans="1:16" ht="15.75" customHeight="1">
      <c r="A454" s="294"/>
      <c r="B454" s="294"/>
      <c r="C454" s="294"/>
      <c r="D454" s="294"/>
      <c r="E454" s="294"/>
      <c r="F454" s="294"/>
      <c r="G454" s="294"/>
      <c r="H454" s="294"/>
      <c r="I454" s="294"/>
      <c r="J454" s="294"/>
      <c r="K454" s="294"/>
      <c r="L454" s="294"/>
      <c r="M454" s="294"/>
      <c r="N454" s="294"/>
      <c r="O454" s="294"/>
      <c r="P454" s="294"/>
    </row>
    <row r="455" spans="1:16" ht="15.75" customHeight="1">
      <c r="A455" s="294"/>
      <c r="B455" s="294"/>
      <c r="C455" s="294"/>
      <c r="D455" s="294"/>
      <c r="E455" s="294"/>
      <c r="F455" s="294"/>
      <c r="G455" s="294"/>
      <c r="H455" s="294"/>
      <c r="I455" s="294"/>
      <c r="J455" s="294"/>
      <c r="K455" s="294"/>
      <c r="L455" s="294"/>
      <c r="M455" s="294"/>
      <c r="N455" s="294"/>
      <c r="O455" s="294"/>
      <c r="P455" s="294"/>
    </row>
    <row r="456" spans="1:16" ht="15.75" customHeight="1">
      <c r="A456" s="294"/>
      <c r="B456" s="294"/>
      <c r="C456" s="294"/>
      <c r="D456" s="294"/>
      <c r="E456" s="294"/>
      <c r="F456" s="294"/>
      <c r="G456" s="294"/>
      <c r="H456" s="294"/>
      <c r="I456" s="294"/>
      <c r="J456" s="294"/>
      <c r="K456" s="294"/>
      <c r="L456" s="294"/>
      <c r="M456" s="294"/>
      <c r="N456" s="294"/>
      <c r="O456" s="294"/>
      <c r="P456" s="294"/>
    </row>
    <row r="457" spans="1:16" ht="15.75" customHeight="1">
      <c r="A457" s="294"/>
      <c r="B457" s="294"/>
      <c r="C457" s="294"/>
      <c r="D457" s="294"/>
      <c r="E457" s="294"/>
      <c r="F457" s="294"/>
      <c r="G457" s="294"/>
      <c r="H457" s="294"/>
      <c r="I457" s="294"/>
      <c r="J457" s="294"/>
      <c r="K457" s="294"/>
      <c r="L457" s="294"/>
      <c r="M457" s="294"/>
      <c r="N457" s="294"/>
      <c r="O457" s="294"/>
      <c r="P457" s="294"/>
    </row>
    <row r="458" spans="1:16" ht="15.75" customHeight="1">
      <c r="A458" s="294"/>
      <c r="B458" s="294"/>
      <c r="C458" s="294"/>
      <c r="D458" s="294"/>
      <c r="E458" s="294"/>
      <c r="F458" s="294"/>
      <c r="G458" s="294"/>
      <c r="H458" s="294"/>
      <c r="I458" s="294"/>
      <c r="J458" s="294"/>
      <c r="K458" s="294"/>
      <c r="L458" s="294"/>
      <c r="M458" s="294"/>
      <c r="N458" s="294"/>
      <c r="O458" s="294"/>
      <c r="P458" s="294"/>
    </row>
    <row r="459" spans="1:16" ht="15.75" customHeight="1">
      <c r="A459" s="331"/>
      <c r="B459" s="294"/>
      <c r="C459" s="294"/>
      <c r="D459" s="294"/>
      <c r="E459" s="294"/>
      <c r="F459" s="294"/>
      <c r="G459" s="294"/>
      <c r="H459" s="294"/>
      <c r="I459" s="294"/>
      <c r="J459" s="294"/>
      <c r="K459" s="294"/>
      <c r="L459" s="294"/>
      <c r="M459" s="294"/>
      <c r="N459" s="294"/>
      <c r="O459" s="294"/>
      <c r="P459" s="294"/>
    </row>
    <row r="460" spans="1:16" ht="15.75" customHeight="1">
      <c r="A460" s="294"/>
      <c r="B460" s="294"/>
      <c r="C460" s="294"/>
      <c r="D460" s="294"/>
      <c r="E460" s="294"/>
      <c r="F460" s="294"/>
      <c r="G460" s="294"/>
      <c r="H460" s="294"/>
      <c r="I460" s="294"/>
      <c r="J460" s="294"/>
      <c r="K460" s="294"/>
      <c r="L460" s="294"/>
      <c r="M460" s="294"/>
      <c r="N460" s="294"/>
      <c r="O460" s="294"/>
      <c r="P460" s="294"/>
    </row>
    <row r="461" spans="1:16" ht="15.75" customHeight="1">
      <c r="A461" s="294"/>
      <c r="B461" s="294"/>
      <c r="C461" s="294"/>
      <c r="D461" s="294"/>
      <c r="E461" s="294"/>
      <c r="F461" s="294"/>
      <c r="G461" s="294"/>
      <c r="H461" s="294"/>
      <c r="I461" s="294"/>
      <c r="J461" s="294"/>
      <c r="K461" s="294"/>
      <c r="L461" s="294"/>
      <c r="M461" s="294"/>
      <c r="N461" s="294"/>
      <c r="O461" s="294"/>
      <c r="P461" s="294"/>
    </row>
    <row r="462" spans="1:16" ht="15.75" customHeight="1">
      <c r="A462" s="294"/>
      <c r="B462" s="294"/>
      <c r="C462" s="294"/>
      <c r="D462" s="294"/>
      <c r="E462" s="294"/>
      <c r="F462" s="294"/>
      <c r="G462" s="294"/>
      <c r="H462" s="294"/>
      <c r="I462" s="294"/>
      <c r="J462" s="294"/>
      <c r="K462" s="294"/>
      <c r="L462" s="294"/>
      <c r="M462" s="294"/>
      <c r="N462" s="294"/>
      <c r="O462" s="294"/>
      <c r="P462" s="294"/>
    </row>
    <row r="463" spans="1:16" ht="15.75" customHeight="1">
      <c r="A463" s="294"/>
      <c r="B463" s="294"/>
      <c r="C463" s="294"/>
      <c r="D463" s="294"/>
      <c r="E463" s="294"/>
      <c r="F463" s="294"/>
      <c r="G463" s="294"/>
      <c r="H463" s="294"/>
      <c r="I463" s="294"/>
      <c r="J463" s="294"/>
      <c r="K463" s="294"/>
      <c r="L463" s="294"/>
      <c r="M463" s="294"/>
      <c r="N463" s="294"/>
      <c r="O463" s="294"/>
      <c r="P463" s="294"/>
    </row>
    <row r="464" spans="1:16" ht="15.75" customHeight="1">
      <c r="A464" s="294"/>
      <c r="B464" s="294"/>
      <c r="C464" s="294"/>
      <c r="D464" s="294"/>
      <c r="E464" s="294"/>
      <c r="F464" s="294"/>
      <c r="G464" s="294"/>
      <c r="H464" s="294"/>
      <c r="I464" s="294"/>
      <c r="J464" s="294"/>
      <c r="K464" s="294"/>
      <c r="L464" s="294"/>
      <c r="M464" s="294"/>
      <c r="N464" s="294"/>
      <c r="O464" s="294"/>
      <c r="P464" s="294"/>
    </row>
    <row r="465" spans="1:16" ht="15.75" customHeight="1">
      <c r="A465" s="294"/>
      <c r="B465" s="294"/>
      <c r="C465" s="294"/>
      <c r="D465" s="294"/>
      <c r="E465" s="294"/>
      <c r="F465" s="294"/>
      <c r="G465" s="294"/>
      <c r="H465" s="294"/>
      <c r="I465" s="294"/>
      <c r="J465" s="294"/>
      <c r="K465" s="294"/>
      <c r="L465" s="294"/>
      <c r="M465" s="294"/>
      <c r="N465" s="294"/>
      <c r="O465" s="294"/>
      <c r="P465" s="294"/>
    </row>
    <row r="466" spans="1:16" ht="15.75" customHeight="1">
      <c r="A466" s="294"/>
      <c r="B466" s="294"/>
      <c r="C466" s="294"/>
      <c r="D466" s="294"/>
      <c r="E466" s="294"/>
      <c r="F466" s="294"/>
      <c r="G466" s="294"/>
      <c r="H466" s="294"/>
      <c r="I466" s="294"/>
      <c r="J466" s="294"/>
      <c r="K466" s="294"/>
      <c r="L466" s="294"/>
      <c r="M466" s="294"/>
      <c r="N466" s="294"/>
      <c r="O466" s="294"/>
      <c r="P466" s="294"/>
    </row>
    <row r="467" spans="1:16" ht="15.75" customHeight="1">
      <c r="A467" s="294"/>
      <c r="B467" s="294"/>
      <c r="C467" s="294"/>
      <c r="D467" s="294"/>
      <c r="E467" s="294"/>
      <c r="F467" s="294"/>
      <c r="G467" s="294"/>
      <c r="H467" s="294"/>
      <c r="I467" s="294"/>
      <c r="J467" s="294"/>
      <c r="K467" s="294"/>
      <c r="L467" s="294"/>
      <c r="M467" s="294"/>
      <c r="N467" s="294"/>
      <c r="O467" s="294"/>
      <c r="P467" s="294"/>
    </row>
    <row r="468" spans="1:16" ht="15.75" customHeight="1">
      <c r="A468" s="294"/>
      <c r="B468" s="294"/>
      <c r="C468" s="294"/>
      <c r="D468" s="294"/>
      <c r="E468" s="294"/>
      <c r="F468" s="294"/>
      <c r="G468" s="294"/>
      <c r="H468" s="294"/>
      <c r="I468" s="294"/>
      <c r="J468" s="294"/>
      <c r="K468" s="294"/>
      <c r="L468" s="294"/>
      <c r="M468" s="294"/>
      <c r="N468" s="294"/>
      <c r="O468" s="294"/>
      <c r="P468" s="294"/>
    </row>
    <row r="469" spans="1:16" ht="15.75" customHeight="1">
      <c r="A469" s="294"/>
      <c r="B469" s="294"/>
      <c r="C469" s="294"/>
      <c r="D469" s="294"/>
      <c r="E469" s="294"/>
      <c r="F469" s="294"/>
      <c r="G469" s="294"/>
      <c r="H469" s="294"/>
      <c r="I469" s="294"/>
      <c r="J469" s="294"/>
      <c r="K469" s="294"/>
      <c r="L469" s="294"/>
      <c r="M469" s="294"/>
      <c r="N469" s="294"/>
      <c r="O469" s="294"/>
      <c r="P469" s="294"/>
    </row>
    <row r="470" spans="1:16" ht="15.75" customHeight="1">
      <c r="A470" s="294"/>
      <c r="B470" s="294"/>
      <c r="C470" s="294"/>
      <c r="D470" s="294"/>
      <c r="E470" s="294"/>
      <c r="F470" s="294"/>
      <c r="G470" s="294"/>
      <c r="H470" s="294"/>
      <c r="I470" s="294"/>
      <c r="J470" s="294"/>
      <c r="K470" s="294"/>
      <c r="L470" s="294"/>
      <c r="M470" s="294"/>
      <c r="N470" s="294"/>
      <c r="O470" s="294"/>
      <c r="P470" s="294"/>
    </row>
    <row r="471" spans="1:16" ht="15.75" customHeight="1">
      <c r="A471" s="294"/>
      <c r="B471" s="294"/>
      <c r="C471" s="294"/>
      <c r="D471" s="294"/>
      <c r="E471" s="294"/>
      <c r="F471" s="294"/>
      <c r="G471" s="294"/>
      <c r="H471" s="294"/>
      <c r="I471" s="294"/>
      <c r="J471" s="294"/>
      <c r="K471" s="294"/>
      <c r="L471" s="294"/>
      <c r="M471" s="294"/>
      <c r="N471" s="294"/>
      <c r="O471" s="294"/>
      <c r="P471" s="294"/>
    </row>
    <row r="472" spans="1:16" ht="15.75" customHeight="1">
      <c r="A472" s="294"/>
      <c r="B472" s="294"/>
      <c r="C472" s="294"/>
      <c r="D472" s="294"/>
      <c r="E472" s="294"/>
      <c r="F472" s="294"/>
      <c r="G472" s="294"/>
      <c r="H472" s="294"/>
      <c r="I472" s="294"/>
      <c r="J472" s="294"/>
      <c r="K472" s="294"/>
      <c r="L472" s="294"/>
      <c r="M472" s="294"/>
      <c r="N472" s="294"/>
      <c r="O472" s="294"/>
      <c r="P472" s="294"/>
    </row>
    <row r="473" spans="1:16" ht="15.75" customHeight="1">
      <c r="A473" s="294"/>
      <c r="B473" s="294"/>
      <c r="C473" s="294"/>
      <c r="D473" s="294"/>
      <c r="E473" s="294"/>
      <c r="F473" s="294"/>
      <c r="G473" s="294"/>
      <c r="H473" s="294"/>
      <c r="I473" s="294"/>
      <c r="J473" s="294"/>
      <c r="K473" s="294"/>
      <c r="L473" s="294"/>
      <c r="M473" s="294"/>
      <c r="N473" s="294"/>
      <c r="O473" s="294"/>
      <c r="P473" s="294"/>
    </row>
    <row r="474" spans="1:16" ht="15.75" customHeight="1">
      <c r="A474" s="294"/>
      <c r="B474" s="294"/>
      <c r="C474" s="294"/>
      <c r="D474" s="294"/>
      <c r="E474" s="294"/>
      <c r="F474" s="294"/>
      <c r="G474" s="294"/>
      <c r="H474" s="294"/>
      <c r="I474" s="294"/>
      <c r="J474" s="294"/>
      <c r="K474" s="294"/>
      <c r="L474" s="294"/>
      <c r="M474" s="294"/>
      <c r="N474" s="294"/>
      <c r="O474" s="294"/>
      <c r="P474" s="294"/>
    </row>
    <row r="475" spans="1:16" ht="15.75" customHeight="1">
      <c r="A475" s="68"/>
      <c r="B475" s="68"/>
      <c r="C475" s="68"/>
      <c r="D475" s="68"/>
      <c r="E475" s="68"/>
      <c r="F475" s="68"/>
      <c r="G475" s="68"/>
      <c r="H475" s="68"/>
      <c r="I475" s="68"/>
      <c r="J475" s="68"/>
      <c r="K475" s="68"/>
      <c r="L475" s="68"/>
      <c r="M475" s="68"/>
      <c r="N475" s="68"/>
      <c r="O475" s="68"/>
      <c r="P475" s="68"/>
    </row>
    <row r="476" spans="1:16" ht="15.75" customHeight="1">
      <c r="A476" s="392" t="s">
        <v>400</v>
      </c>
      <c r="B476" s="294"/>
      <c r="C476" s="294"/>
      <c r="D476" s="294"/>
      <c r="E476" s="294"/>
      <c r="F476" s="294"/>
      <c r="G476" s="294"/>
      <c r="H476" s="294"/>
      <c r="I476" s="294"/>
      <c r="J476" s="294"/>
      <c r="K476" s="294"/>
      <c r="L476" s="294"/>
      <c r="M476" s="294"/>
      <c r="N476" s="294"/>
      <c r="O476" s="294"/>
      <c r="P476" s="294"/>
    </row>
    <row r="477" spans="1:16" ht="15.75" customHeight="1">
      <c r="A477" s="294"/>
      <c r="B477" s="294"/>
      <c r="C477" s="294"/>
      <c r="D477" s="294"/>
      <c r="E477" s="294"/>
      <c r="F477" s="294"/>
      <c r="G477" s="294"/>
      <c r="H477" s="294"/>
      <c r="I477" s="294"/>
      <c r="J477" s="294"/>
      <c r="K477" s="294"/>
      <c r="L477" s="294"/>
      <c r="M477" s="294"/>
      <c r="N477" s="294"/>
      <c r="O477" s="294"/>
      <c r="P477" s="294"/>
    </row>
    <row r="478" spans="1:16" ht="15.75" customHeight="1">
      <c r="A478" s="350" t="s">
        <v>401</v>
      </c>
      <c r="B478" s="319"/>
      <c r="C478" s="319"/>
      <c r="D478" s="431" t="str">
        <f>$D$100</f>
        <v>Av1</v>
      </c>
      <c r="E478" s="319"/>
      <c r="F478" s="432" t="s">
        <v>39</v>
      </c>
      <c r="G478" s="431" t="str">
        <f ca="1">$G$100</f>
        <v>Av13</v>
      </c>
      <c r="H478" s="319"/>
      <c r="I478" s="432" t="s">
        <v>39</v>
      </c>
      <c r="J478" s="431" t="str">
        <f ca="1">$J$100</f>
        <v>Av14</v>
      </c>
      <c r="K478" s="319"/>
      <c r="L478" s="432" t="s">
        <v>39</v>
      </c>
      <c r="M478" s="431" t="str">
        <f ca="1">$M$100</f>
        <v>Av15</v>
      </c>
      <c r="N478" s="319"/>
      <c r="O478" s="431" t="s">
        <v>356</v>
      </c>
      <c r="P478" s="319"/>
    </row>
    <row r="479" spans="1:16" ht="15.75" customHeight="1">
      <c r="A479" s="317"/>
      <c r="B479" s="317"/>
      <c r="C479" s="317"/>
      <c r="D479" s="365">
        <f ca="1">OFFSET(BD!$A$2,,MATCH(D478,BD!$B$1:$P$1,0))</f>
        <v>44517</v>
      </c>
      <c r="E479" s="317"/>
      <c r="F479" s="317"/>
      <c r="G479" s="365">
        <f ca="1">OFFSET(BD!$A$2,,MATCH(G478,BD!$B$1:$P$1,0))</f>
        <v>0</v>
      </c>
      <c r="H479" s="317"/>
      <c r="I479" s="317"/>
      <c r="J479" s="365">
        <f ca="1">OFFSET(BD!$A$2,,MATCH(J478,BD!$B$1:$P$1,0))</f>
        <v>0</v>
      </c>
      <c r="K479" s="317"/>
      <c r="L479" s="317"/>
      <c r="M479" s="365">
        <f ca="1">OFFSET(BD!$A$2,,MATCH(M478,BD!$B$1:$P$1,0))</f>
        <v>0</v>
      </c>
      <c r="N479" s="317"/>
      <c r="O479" s="317"/>
      <c r="P479" s="317"/>
    </row>
    <row r="480" spans="1:16" ht="15.75" customHeight="1">
      <c r="A480" s="447" t="s">
        <v>402</v>
      </c>
      <c r="B480" s="294"/>
      <c r="C480" s="294"/>
      <c r="D480" s="331" t="str">
        <f ca="1">OFFSET(BD!$A$124,0,MATCH(D$478,BD!$B$1:$P$1,0))</f>
        <v>-</v>
      </c>
      <c r="E480" s="294"/>
      <c r="F480" s="123"/>
      <c r="G480" s="331" t="str">
        <f ca="1">OFFSET(BD!$A$124,0,MATCH(G$478,BD!$B$1:$P$1,0))</f>
        <v>-</v>
      </c>
      <c r="H480" s="294"/>
      <c r="I480" s="123"/>
      <c r="J480" s="331" t="str">
        <f ca="1">OFFSET(BD!$A$124,0,MATCH(J$478,BD!$B$1:$P$1,0))</f>
        <v>-</v>
      </c>
      <c r="K480" s="294"/>
      <c r="L480" s="123"/>
      <c r="M480" s="331" t="str">
        <f ca="1">OFFSET(BD!$A$124,0,MATCH(M$478,BD!$B$1:$P$1,0))</f>
        <v>-</v>
      </c>
      <c r="N480" s="294"/>
      <c r="O480" s="468" t="s">
        <v>55</v>
      </c>
      <c r="P480" s="294"/>
    </row>
    <row r="481" spans="1:16" ht="15.75" customHeight="1">
      <c r="A481" s="447" t="s">
        <v>180</v>
      </c>
      <c r="B481" s="294"/>
      <c r="C481" s="294"/>
      <c r="D481" s="484" t="str">
        <f ca="1">OFFSET(BD!$A$125,0,MATCH(D$478,BD!$B$1:$P$1,0))</f>
        <v>-</v>
      </c>
      <c r="E481" s="294"/>
      <c r="F481" s="123"/>
      <c r="G481" s="484" t="str">
        <f ca="1">OFFSET(BD!$A$125,0,MATCH(G$478,BD!$B$1:$P$1,0))</f>
        <v>-</v>
      </c>
      <c r="H481" s="294"/>
      <c r="I481" s="123"/>
      <c r="J481" s="484" t="str">
        <f ca="1">OFFSET(BD!$A$125,0,MATCH(J$478,BD!$B$1:$P$1,0))</f>
        <v>-</v>
      </c>
      <c r="K481" s="294"/>
      <c r="L481" s="123"/>
      <c r="M481" s="484" t="str">
        <f ca="1">OFFSET(BD!$A$125,0,MATCH(M$478,BD!$B$1:$P$1,0))</f>
        <v>-</v>
      </c>
      <c r="N481" s="294"/>
      <c r="O481" s="468" t="s">
        <v>55</v>
      </c>
      <c r="P481" s="294"/>
    </row>
    <row r="482" spans="1:16" ht="15.75" customHeight="1">
      <c r="A482" s="447" t="s">
        <v>403</v>
      </c>
      <c r="B482" s="294"/>
      <c r="C482" s="294"/>
      <c r="D482" s="484" t="str">
        <f ca="1">OFFSET(BD!$A$128,0,MATCH(D$478,BD!$B$1:$P$1,0))</f>
        <v>-</v>
      </c>
      <c r="E482" s="294"/>
      <c r="F482" s="123" t="str">
        <f t="shared" ref="F482:F483" ca="1" si="15">IF(OR(D482="-",G482="-"),"-",(G482-D482)*100/D482)</f>
        <v>-</v>
      </c>
      <c r="G482" s="484" t="str">
        <f ca="1">OFFSET(BD!$A$128,0,MATCH(G$478,BD!$B$1:$P$1,0))</f>
        <v>-</v>
      </c>
      <c r="H482" s="294"/>
      <c r="I482" s="123" t="str">
        <f t="shared" ref="I482:I483" ca="1" si="16">IF(OR(G482="-",J482="-"),"-",(J482-G482)*100/G482)</f>
        <v>-</v>
      </c>
      <c r="J482" s="484" t="str">
        <f ca="1">OFFSET(BD!$A$128,0,MATCH(J$478,BD!$B$1:$P$1,0))</f>
        <v>-</v>
      </c>
      <c r="K482" s="294"/>
      <c r="L482" s="123" t="str">
        <f t="shared" ref="L482:L483" ca="1" si="17">IF(OR(J482="-",M482="-"),"-",(M482-J482)*100/J482)</f>
        <v>-</v>
      </c>
      <c r="M482" s="484" t="str">
        <f ca="1">OFFSET(BD!$A$128,0,MATCH(M$478,BD!$B$1:$P$1,0))</f>
        <v>-</v>
      </c>
      <c r="N482" s="294"/>
      <c r="O482" s="468" t="e">
        <f ca="1">'BD tratado'!D128</f>
        <v>#NAME?</v>
      </c>
      <c r="P482" s="294"/>
    </row>
    <row r="483" spans="1:16" ht="15.75" customHeight="1">
      <c r="A483" s="447" t="s">
        <v>404</v>
      </c>
      <c r="B483" s="294"/>
      <c r="C483" s="294"/>
      <c r="D483" s="484" t="str">
        <f ca="1">OFFSET(BD!$A$130,0,MATCH(D$478,BD!$B$1:$P$1,0))</f>
        <v>-</v>
      </c>
      <c r="E483" s="294"/>
      <c r="F483" s="123" t="str">
        <f t="shared" ca="1" si="15"/>
        <v>-</v>
      </c>
      <c r="G483" s="484" t="str">
        <f ca="1">OFFSET(BD!$A$130,0,MATCH(G$478,BD!$B$1:$P$1,0))</f>
        <v>-</v>
      </c>
      <c r="H483" s="294"/>
      <c r="I483" s="123" t="str">
        <f t="shared" ca="1" si="16"/>
        <v>-</v>
      </c>
      <c r="J483" s="484" t="str">
        <f ca="1">OFFSET(BD!$A$130,0,MATCH(J$478,BD!$B$1:$P$1,0))</f>
        <v>-</v>
      </c>
      <c r="K483" s="294"/>
      <c r="L483" s="123" t="str">
        <f t="shared" ca="1" si="17"/>
        <v>-</v>
      </c>
      <c r="M483" s="484" t="str">
        <f ca="1">OFFSET(BD!$A$130,0,MATCH(M$478,BD!$B$1:$P$1,0))</f>
        <v>-</v>
      </c>
      <c r="N483" s="294"/>
      <c r="O483" s="468" t="e">
        <f ca="1">'BD tratado'!D130</f>
        <v>#NAME?</v>
      </c>
      <c r="P483" s="294"/>
    </row>
    <row r="484" spans="1:16" ht="15.75" customHeight="1">
      <c r="A484" s="477" t="s">
        <v>186</v>
      </c>
      <c r="B484" s="294"/>
      <c r="C484" s="294"/>
      <c r="D484" s="477" t="e">
        <f ca="1">OFFSET(BD!$A$131,0,MATCH(D$478,BD!$B$1:$P$1,0))</f>
        <v>#VALUE!</v>
      </c>
      <c r="E484" s="294"/>
      <c r="F484" s="123"/>
      <c r="G484" s="477" t="e">
        <f ca="1">OFFSET(BD!$A$131,0,MATCH(G$478,BD!$B$1:$P$1,0))</f>
        <v>#VALUE!</v>
      </c>
      <c r="H484" s="294"/>
      <c r="I484" s="123"/>
      <c r="J484" s="477" t="e">
        <f ca="1">OFFSET(BD!$A$131,0,MATCH(J$478,BD!$B$1:$P$1,0))</f>
        <v>#VALUE!</v>
      </c>
      <c r="K484" s="294"/>
      <c r="L484" s="123"/>
      <c r="M484" s="477" t="e">
        <f ca="1">OFFSET(BD!$A$131,0,MATCH(M$478,BD!$B$1:$P$1,0))</f>
        <v>#VALUE!</v>
      </c>
      <c r="N484" s="294"/>
      <c r="O484" s="485" t="e">
        <f ca="1">'BD tratado'!D131</f>
        <v>#NAME?</v>
      </c>
      <c r="P484" s="294"/>
    </row>
    <row r="485" spans="1:16" ht="15.75" customHeight="1">
      <c r="A485" s="447" t="s">
        <v>405</v>
      </c>
      <c r="B485" s="294"/>
      <c r="C485" s="294"/>
      <c r="D485" s="331" t="str">
        <f ca="1">OFFSET(BD!$A$126,0,MATCH(D$478,BD!$B$1:$P$1,0))</f>
        <v>-</v>
      </c>
      <c r="E485" s="294"/>
      <c r="F485" s="123"/>
      <c r="G485" s="331" t="str">
        <f ca="1">OFFSET(BD!$A$126,0,MATCH(G$478,BD!$B$1:$P$1,0))</f>
        <v>-</v>
      </c>
      <c r="H485" s="294"/>
      <c r="I485" s="123"/>
      <c r="J485" s="331" t="str">
        <f ca="1">OFFSET(BD!$A$126,0,MATCH(J$478,BD!$B$1:$P$1,0))</f>
        <v>-</v>
      </c>
      <c r="K485" s="294"/>
      <c r="L485" s="123"/>
      <c r="M485" s="331" t="str">
        <f ca="1">OFFSET(BD!$A$126,0,MATCH(M$478,BD!$B$1:$P$1,0))</f>
        <v>-</v>
      </c>
      <c r="N485" s="294"/>
      <c r="O485" s="468" t="s">
        <v>55</v>
      </c>
      <c r="P485" s="294"/>
    </row>
    <row r="486" spans="1:16" ht="15.75" customHeight="1">
      <c r="A486" s="447" t="s">
        <v>406</v>
      </c>
      <c r="B486" s="294"/>
      <c r="C486" s="294"/>
      <c r="D486" s="331" t="str">
        <f ca="1">OFFSET(BD!$A$127,0,MATCH(D$478,BD!$B$1:$P$1,0))</f>
        <v>-</v>
      </c>
      <c r="E486" s="294"/>
      <c r="F486" s="123"/>
      <c r="G486" s="331" t="str">
        <f ca="1">OFFSET(BD!$A$127,0,MATCH(G$478,BD!$B$1:$P$1,0))</f>
        <v>-</v>
      </c>
      <c r="H486" s="294"/>
      <c r="I486" s="123"/>
      <c r="J486" s="331" t="str">
        <f ca="1">OFFSET(BD!$A$127,0,MATCH(J$478,BD!$B$1:$P$1,0))</f>
        <v>-</v>
      </c>
      <c r="K486" s="294"/>
      <c r="L486" s="123"/>
      <c r="M486" s="331" t="str">
        <f ca="1">OFFSET(BD!$A$127,0,MATCH(M$478,BD!$B$1:$P$1,0))</f>
        <v>-</v>
      </c>
      <c r="N486" s="294"/>
      <c r="O486" s="468" t="s">
        <v>55</v>
      </c>
      <c r="P486" s="294"/>
    </row>
    <row r="487" spans="1:16" ht="15.75" customHeight="1">
      <c r="A487" s="447" t="s">
        <v>407</v>
      </c>
      <c r="B487" s="294"/>
      <c r="C487" s="294"/>
      <c r="D487" s="331" t="str">
        <f ca="1">OFFSET(BD!$A$129,0,MATCH(D$478,BD!$B$1:$P$1,0))</f>
        <v>-</v>
      </c>
      <c r="E487" s="294"/>
      <c r="F487" s="123" t="str">
        <f t="shared" ref="F487:F488" ca="1" si="18">IF(OR(D487="-",G487="-"),"-",(G487-D487)*100/D487)</f>
        <v>-</v>
      </c>
      <c r="G487" s="331" t="str">
        <f ca="1">OFFSET(BD!$A$129,0,MATCH(G$478,BD!$B$1:$P$1,0))</f>
        <v>-</v>
      </c>
      <c r="H487" s="294"/>
      <c r="I487" s="123" t="str">
        <f t="shared" ref="I487:I488" ca="1" si="19">IF(OR(G487="-",J487="-"),"-",(J487-G487)*100/G487)</f>
        <v>-</v>
      </c>
      <c r="J487" s="331" t="str">
        <f ca="1">OFFSET(BD!$A$129,0,MATCH(J$478,BD!$B$1:$P$1,0))</f>
        <v>-</v>
      </c>
      <c r="K487" s="294"/>
      <c r="L487" s="123" t="str">
        <f t="shared" ref="L487:L488" ca="1" si="20">IF(OR(J487="-",M487="-"),"-",(M487-J487)*100/J487)</f>
        <v>-</v>
      </c>
      <c r="M487" s="331" t="str">
        <f ca="1">OFFSET(BD!$A$129,0,MATCH(M$478,BD!$B$1:$P$1,0))</f>
        <v>-</v>
      </c>
      <c r="N487" s="294"/>
      <c r="O487" s="468" t="e">
        <f ca="1">'BD tratado'!D129</f>
        <v>#NAME?</v>
      </c>
      <c r="P487" s="294"/>
    </row>
    <row r="488" spans="1:16" ht="15.75" customHeight="1">
      <c r="A488" s="447" t="s">
        <v>408</v>
      </c>
      <c r="B488" s="294"/>
      <c r="C488" s="294"/>
      <c r="D488" s="331" t="str">
        <f ca="1">OFFSET(BD!$A$132,0,MATCH(D$478,BD!$B$1:$P$1,0))</f>
        <v>-</v>
      </c>
      <c r="E488" s="294"/>
      <c r="F488" s="123" t="str">
        <f t="shared" ca="1" si="18"/>
        <v>-</v>
      </c>
      <c r="G488" s="331" t="str">
        <f ca="1">OFFSET(BD!$A$132,0,MATCH(G$478,BD!$B$1:$P$1,0))</f>
        <v>-</v>
      </c>
      <c r="H488" s="294"/>
      <c r="I488" s="123" t="str">
        <f t="shared" ca="1" si="19"/>
        <v>-</v>
      </c>
      <c r="J488" s="331" t="str">
        <f ca="1">OFFSET(BD!$A$132,0,MATCH(J$478,BD!$B$1:$P$1,0))</f>
        <v>-</v>
      </c>
      <c r="K488" s="294"/>
      <c r="L488" s="123" t="str">
        <f t="shared" ca="1" si="20"/>
        <v>-</v>
      </c>
      <c r="M488" s="331" t="str">
        <f ca="1">OFFSET(BD!$A$132,0,MATCH(M$478,BD!$B$1:$P$1,0))</f>
        <v>-</v>
      </c>
      <c r="N488" s="294"/>
      <c r="O488" s="468" t="e">
        <f ca="1">'BD tratado'!D130</f>
        <v>#NAME?</v>
      </c>
      <c r="P488" s="294"/>
    </row>
    <row r="489" spans="1:16" ht="15.75" customHeight="1">
      <c r="A489" s="481" t="s">
        <v>188</v>
      </c>
      <c r="B489" s="317"/>
      <c r="C489" s="317"/>
      <c r="D489" s="481" t="e">
        <f ca="1">OFFSET(BD!$A$133,0,MATCH(D$478,BD!$B$1:$P$1,0))</f>
        <v>#VALUE!</v>
      </c>
      <c r="E489" s="317"/>
      <c r="F489" s="126"/>
      <c r="G489" s="332" t="e">
        <f ca="1">OFFSET(BD!$A$133,0,MATCH(G$478,BD!$B$1:$P$1,0))</f>
        <v>#VALUE!</v>
      </c>
      <c r="H489" s="317"/>
      <c r="I489" s="126"/>
      <c r="J489" s="332" t="e">
        <f ca="1">OFFSET(BD!$A$133,0,MATCH(J$478,BD!$B$1:$P$1,0))</f>
        <v>#VALUE!</v>
      </c>
      <c r="K489" s="317"/>
      <c r="L489" s="126"/>
      <c r="M489" s="332" t="e">
        <f ca="1">OFFSET(BD!$A$133,0,MATCH(M$478,BD!$B$1:$P$1,0))</f>
        <v>#VALUE!</v>
      </c>
      <c r="N489" s="317"/>
      <c r="O489" s="486" t="e">
        <f ca="1">'BD tratado'!D133</f>
        <v>#NAME?</v>
      </c>
      <c r="P489" s="317"/>
    </row>
    <row r="491" spans="1:16" ht="15.75" customHeight="1">
      <c r="A491" s="294"/>
      <c r="B491" s="294"/>
      <c r="C491" s="294"/>
      <c r="D491" s="294"/>
      <c r="E491" s="294"/>
      <c r="F491" s="294"/>
      <c r="G491" s="294"/>
      <c r="H491" s="294"/>
      <c r="I491" s="294"/>
      <c r="J491" s="294"/>
      <c r="K491" s="294"/>
      <c r="L491" s="294"/>
      <c r="M491" s="294"/>
      <c r="N491" s="294"/>
      <c r="O491" s="294"/>
      <c r="P491" s="294"/>
    </row>
    <row r="492" spans="1:16" ht="15.75" customHeight="1">
      <c r="A492" s="294"/>
      <c r="B492" s="294"/>
      <c r="C492" s="294"/>
      <c r="D492" s="294"/>
      <c r="E492" s="294"/>
      <c r="F492" s="294"/>
      <c r="G492" s="294"/>
      <c r="H492" s="294"/>
      <c r="I492" s="294"/>
      <c r="J492" s="294"/>
      <c r="K492" s="294"/>
      <c r="L492" s="294"/>
      <c r="M492" s="294"/>
      <c r="N492" s="294"/>
      <c r="O492" s="294"/>
      <c r="P492" s="294"/>
    </row>
    <row r="493" spans="1:16" ht="15.75" customHeight="1">
      <c r="A493" s="294"/>
      <c r="B493" s="294"/>
      <c r="C493" s="294"/>
      <c r="D493" s="294"/>
      <c r="E493" s="294"/>
      <c r="F493" s="294"/>
      <c r="G493" s="294"/>
      <c r="H493" s="294"/>
      <c r="I493" s="294"/>
      <c r="J493" s="294"/>
      <c r="K493" s="294"/>
      <c r="L493" s="294"/>
      <c r="M493" s="294"/>
      <c r="N493" s="294"/>
      <c r="O493" s="294"/>
      <c r="P493" s="294"/>
    </row>
    <row r="494" spans="1:16" ht="15.75" customHeight="1">
      <c r="A494" s="294"/>
      <c r="B494" s="294"/>
      <c r="C494" s="294"/>
      <c r="D494" s="294"/>
      <c r="E494" s="294"/>
      <c r="F494" s="294"/>
      <c r="G494" s="294"/>
      <c r="H494" s="294"/>
      <c r="I494" s="294"/>
      <c r="J494" s="294"/>
      <c r="K494" s="294"/>
      <c r="L494" s="294"/>
      <c r="M494" s="294"/>
      <c r="N494" s="294"/>
      <c r="O494" s="294"/>
      <c r="P494" s="294"/>
    </row>
    <row r="495" spans="1:16" ht="15.75" customHeight="1">
      <c r="A495" s="294"/>
      <c r="B495" s="294"/>
      <c r="C495" s="294"/>
      <c r="D495" s="294"/>
      <c r="E495" s="294"/>
      <c r="F495" s="294"/>
      <c r="G495" s="294"/>
      <c r="H495" s="294"/>
      <c r="I495" s="294"/>
      <c r="J495" s="294"/>
      <c r="K495" s="294"/>
      <c r="L495" s="294"/>
      <c r="M495" s="294"/>
      <c r="N495" s="294"/>
      <c r="O495" s="294"/>
      <c r="P495" s="294"/>
    </row>
    <row r="496" spans="1:16" ht="15.75" customHeight="1">
      <c r="A496" s="294"/>
      <c r="B496" s="294"/>
      <c r="C496" s="294"/>
      <c r="D496" s="294"/>
      <c r="E496" s="294"/>
      <c r="F496" s="294"/>
      <c r="G496" s="294"/>
      <c r="H496" s="294"/>
      <c r="I496" s="294"/>
      <c r="J496" s="294"/>
      <c r="K496" s="294"/>
      <c r="L496" s="294"/>
      <c r="M496" s="294"/>
      <c r="N496" s="294"/>
      <c r="O496" s="294"/>
      <c r="P496" s="294"/>
    </row>
    <row r="497" spans="1:16" ht="15.75" customHeight="1">
      <c r="A497" s="294"/>
      <c r="B497" s="294"/>
      <c r="C497" s="294"/>
      <c r="D497" s="294"/>
      <c r="E497" s="294"/>
      <c r="F497" s="294"/>
      <c r="G497" s="294"/>
      <c r="H497" s="294"/>
      <c r="I497" s="294"/>
      <c r="J497" s="294"/>
      <c r="K497" s="294"/>
      <c r="L497" s="294"/>
      <c r="M497" s="294"/>
      <c r="N497" s="294"/>
      <c r="O497" s="294"/>
      <c r="P497" s="294"/>
    </row>
    <row r="498" spans="1:16" ht="15.75" customHeight="1">
      <c r="A498" s="294"/>
      <c r="B498" s="294"/>
      <c r="C498" s="294"/>
      <c r="D498" s="294"/>
      <c r="E498" s="294"/>
      <c r="F498" s="294"/>
      <c r="G498" s="294"/>
      <c r="H498" s="294"/>
      <c r="I498" s="294"/>
      <c r="J498" s="294"/>
      <c r="K498" s="294"/>
      <c r="L498" s="294"/>
      <c r="M498" s="294"/>
      <c r="N498" s="294"/>
      <c r="O498" s="294"/>
      <c r="P498" s="294"/>
    </row>
    <row r="499" spans="1:16" ht="15.75" customHeight="1">
      <c r="A499" s="294"/>
      <c r="B499" s="294"/>
      <c r="C499" s="294"/>
      <c r="D499" s="294"/>
      <c r="E499" s="294"/>
      <c r="F499" s="294"/>
      <c r="G499" s="294"/>
      <c r="H499" s="294"/>
      <c r="I499" s="294"/>
      <c r="J499" s="294"/>
      <c r="K499" s="294"/>
      <c r="L499" s="294"/>
      <c r="M499" s="294"/>
      <c r="N499" s="294"/>
      <c r="O499" s="294"/>
      <c r="P499" s="294"/>
    </row>
    <row r="500" spans="1:16" ht="15.75" customHeight="1">
      <c r="A500" s="294"/>
      <c r="B500" s="294"/>
      <c r="C500" s="294"/>
      <c r="D500" s="294"/>
      <c r="E500" s="294"/>
      <c r="F500" s="294"/>
      <c r="G500" s="294"/>
      <c r="H500" s="294"/>
      <c r="I500" s="294"/>
      <c r="J500" s="294"/>
      <c r="K500" s="294"/>
      <c r="L500" s="294"/>
      <c r="M500" s="294"/>
      <c r="N500" s="294"/>
      <c r="O500" s="294"/>
      <c r="P500" s="294"/>
    </row>
    <row r="501" spans="1:16" ht="15.75" customHeight="1">
      <c r="A501" s="294"/>
      <c r="B501" s="294"/>
      <c r="C501" s="294"/>
      <c r="D501" s="294"/>
      <c r="E501" s="294"/>
      <c r="F501" s="294"/>
      <c r="G501" s="294"/>
      <c r="H501" s="294"/>
      <c r="I501" s="294"/>
      <c r="J501" s="294"/>
      <c r="K501" s="294"/>
      <c r="L501" s="294"/>
      <c r="M501" s="294"/>
      <c r="N501" s="294"/>
      <c r="O501" s="294"/>
      <c r="P501" s="294"/>
    </row>
    <row r="502" spans="1:16" ht="15.75" customHeight="1">
      <c r="A502" s="294"/>
      <c r="B502" s="294"/>
      <c r="C502" s="294"/>
      <c r="D502" s="294"/>
      <c r="E502" s="294"/>
      <c r="F502" s="294"/>
      <c r="G502" s="294"/>
      <c r="H502" s="294"/>
      <c r="I502" s="294"/>
      <c r="J502" s="294"/>
      <c r="K502" s="294"/>
      <c r="L502" s="294"/>
      <c r="M502" s="294"/>
      <c r="N502" s="294"/>
      <c r="O502" s="294"/>
      <c r="P502" s="294"/>
    </row>
    <row r="503" spans="1:16" ht="15.75" customHeight="1">
      <c r="A503" s="294"/>
      <c r="B503" s="294"/>
      <c r="C503" s="294"/>
      <c r="D503" s="294"/>
      <c r="E503" s="294"/>
      <c r="F503" s="294"/>
      <c r="G503" s="294"/>
      <c r="H503" s="294"/>
      <c r="I503" s="294"/>
      <c r="J503" s="294"/>
      <c r="K503" s="294"/>
      <c r="L503" s="294"/>
      <c r="M503" s="294"/>
      <c r="N503" s="294"/>
      <c r="O503" s="294"/>
      <c r="P503" s="294"/>
    </row>
    <row r="504" spans="1:16" ht="15.75" customHeight="1">
      <c r="A504" s="294"/>
      <c r="B504" s="294"/>
      <c r="C504" s="294"/>
      <c r="D504" s="294"/>
      <c r="E504" s="294"/>
      <c r="F504" s="294"/>
      <c r="G504" s="294"/>
      <c r="H504" s="294"/>
      <c r="I504" s="294"/>
      <c r="J504" s="294"/>
      <c r="K504" s="294"/>
      <c r="L504" s="294"/>
      <c r="M504" s="294"/>
      <c r="N504" s="294"/>
      <c r="O504" s="294"/>
      <c r="P504" s="294"/>
    </row>
    <row r="505" spans="1:16" ht="15.75" customHeight="1">
      <c r="A505" s="294"/>
      <c r="B505" s="294"/>
      <c r="C505" s="294"/>
      <c r="D505" s="294"/>
      <c r="E505" s="294"/>
      <c r="F505" s="294"/>
      <c r="G505" s="294"/>
      <c r="H505" s="294"/>
      <c r="I505" s="294"/>
      <c r="J505" s="294"/>
      <c r="K505" s="294"/>
      <c r="L505" s="294"/>
      <c r="M505" s="294"/>
      <c r="N505" s="294"/>
      <c r="O505" s="294"/>
      <c r="P505" s="294"/>
    </row>
    <row r="506" spans="1:16" ht="15.75" customHeight="1">
      <c r="A506" s="294"/>
      <c r="B506" s="294"/>
      <c r="C506" s="294"/>
      <c r="D506" s="294"/>
      <c r="E506" s="294"/>
      <c r="F506" s="294"/>
      <c r="G506" s="294"/>
      <c r="H506" s="294"/>
      <c r="I506" s="294"/>
      <c r="J506" s="294"/>
      <c r="K506" s="294"/>
      <c r="L506" s="294"/>
      <c r="M506" s="294"/>
      <c r="N506" s="294"/>
      <c r="O506" s="294"/>
      <c r="P506" s="294"/>
    </row>
    <row r="507" spans="1:16" ht="15.75" customHeight="1">
      <c r="A507" s="294"/>
      <c r="B507" s="294"/>
      <c r="C507" s="294"/>
      <c r="D507" s="294"/>
      <c r="E507" s="294"/>
      <c r="F507" s="294"/>
      <c r="G507" s="294"/>
      <c r="H507" s="294"/>
      <c r="I507" s="294"/>
      <c r="J507" s="294"/>
      <c r="K507" s="294"/>
      <c r="L507" s="294"/>
      <c r="M507" s="294"/>
      <c r="N507" s="294"/>
      <c r="O507" s="294"/>
      <c r="P507" s="294"/>
    </row>
    <row r="508" spans="1:16" ht="15.75" customHeight="1">
      <c r="A508" s="294"/>
      <c r="B508" s="294"/>
      <c r="C508" s="294"/>
      <c r="D508" s="294"/>
      <c r="E508" s="294"/>
      <c r="F508" s="294"/>
      <c r="G508" s="294"/>
      <c r="H508" s="294"/>
      <c r="I508" s="294"/>
      <c r="J508" s="294"/>
      <c r="K508" s="294"/>
      <c r="L508" s="294"/>
      <c r="M508" s="294"/>
      <c r="N508" s="294"/>
      <c r="O508" s="294"/>
      <c r="P508" s="294"/>
    </row>
    <row r="509" spans="1:16" ht="15.75" customHeight="1">
      <c r="A509" s="294"/>
      <c r="B509" s="294"/>
      <c r="C509" s="294"/>
      <c r="D509" s="294"/>
      <c r="E509" s="294"/>
      <c r="F509" s="294"/>
      <c r="G509" s="294"/>
      <c r="H509" s="294"/>
      <c r="I509" s="294"/>
      <c r="J509" s="294"/>
      <c r="K509" s="294"/>
      <c r="L509" s="294"/>
      <c r="M509" s="294"/>
      <c r="N509" s="294"/>
      <c r="O509" s="294"/>
      <c r="P509" s="294"/>
    </row>
    <row r="510" spans="1:16" ht="15.75" customHeight="1">
      <c r="A510" s="294"/>
      <c r="B510" s="294"/>
      <c r="C510" s="294"/>
      <c r="D510" s="294"/>
      <c r="E510" s="294"/>
      <c r="F510" s="294"/>
      <c r="G510" s="294"/>
      <c r="H510" s="294"/>
      <c r="I510" s="294"/>
      <c r="J510" s="294"/>
      <c r="K510" s="294"/>
      <c r="L510" s="294"/>
      <c r="M510" s="294"/>
      <c r="N510" s="294"/>
      <c r="O510" s="294"/>
      <c r="P510" s="294"/>
    </row>
    <row r="511" spans="1:16" ht="15.75" customHeight="1">
      <c r="A511" s="294"/>
      <c r="B511" s="294"/>
      <c r="C511" s="294"/>
      <c r="D511" s="294"/>
      <c r="E511" s="294"/>
      <c r="F511" s="294"/>
      <c r="G511" s="294"/>
      <c r="H511" s="294"/>
      <c r="I511" s="294"/>
      <c r="J511" s="294"/>
      <c r="K511" s="294"/>
      <c r="L511" s="294"/>
      <c r="M511" s="294"/>
      <c r="N511" s="294"/>
      <c r="O511" s="294"/>
      <c r="P511" s="294"/>
    </row>
    <row r="512" spans="1:16" ht="15.75" customHeight="1">
      <c r="A512" s="294"/>
      <c r="B512" s="294"/>
      <c r="C512" s="294"/>
      <c r="D512" s="294"/>
      <c r="E512" s="294"/>
      <c r="F512" s="294"/>
      <c r="G512" s="294"/>
      <c r="H512" s="294"/>
      <c r="I512" s="294"/>
      <c r="J512" s="294"/>
      <c r="K512" s="294"/>
      <c r="L512" s="294"/>
      <c r="M512" s="294"/>
      <c r="N512" s="294"/>
      <c r="O512" s="294"/>
      <c r="P512" s="294"/>
    </row>
    <row r="513" spans="1:16" ht="15.75" customHeight="1">
      <c r="A513" s="294"/>
      <c r="B513" s="294"/>
      <c r="C513" s="294"/>
      <c r="D513" s="294"/>
      <c r="E513" s="294"/>
      <c r="F513" s="294"/>
      <c r="G513" s="294"/>
      <c r="H513" s="294"/>
      <c r="I513" s="294"/>
      <c r="J513" s="294"/>
      <c r="K513" s="294"/>
      <c r="L513" s="294"/>
      <c r="M513" s="294"/>
      <c r="N513" s="294"/>
      <c r="O513" s="294"/>
      <c r="P513" s="294"/>
    </row>
    <row r="514" spans="1:16" ht="15.75" customHeight="1">
      <c r="A514" s="294"/>
      <c r="B514" s="294"/>
      <c r="C514" s="294"/>
      <c r="D514" s="294"/>
      <c r="E514" s="294"/>
      <c r="F514" s="294"/>
      <c r="G514" s="294"/>
      <c r="H514" s="294"/>
      <c r="I514" s="294"/>
      <c r="J514" s="294"/>
      <c r="K514" s="294"/>
      <c r="L514" s="294"/>
      <c r="M514" s="294"/>
      <c r="N514" s="294"/>
      <c r="O514" s="294"/>
      <c r="P514" s="294"/>
    </row>
    <row r="515" spans="1:16" ht="15.75" customHeight="1">
      <c r="A515" s="294"/>
      <c r="B515" s="294"/>
      <c r="C515" s="294"/>
      <c r="D515" s="294"/>
      <c r="E515" s="294"/>
      <c r="F515" s="294"/>
      <c r="G515" s="294"/>
      <c r="H515" s="294"/>
      <c r="I515" s="294"/>
      <c r="J515" s="294"/>
      <c r="K515" s="294"/>
      <c r="L515" s="294"/>
      <c r="M515" s="294"/>
      <c r="N515" s="294"/>
      <c r="O515" s="294"/>
      <c r="P515" s="294"/>
    </row>
    <row r="516" spans="1:16" ht="15.75" customHeight="1">
      <c r="A516" s="294"/>
      <c r="B516" s="294"/>
      <c r="C516" s="294"/>
      <c r="D516" s="294"/>
      <c r="E516" s="294"/>
      <c r="F516" s="294"/>
      <c r="G516" s="294"/>
      <c r="H516" s="294"/>
      <c r="I516" s="294"/>
      <c r="J516" s="294"/>
      <c r="K516" s="294"/>
      <c r="L516" s="294"/>
      <c r="M516" s="294"/>
      <c r="N516" s="294"/>
      <c r="O516" s="294"/>
      <c r="P516" s="294"/>
    </row>
    <row r="517" spans="1:16" ht="15.75" customHeight="1">
      <c r="A517" s="294"/>
      <c r="B517" s="294"/>
      <c r="C517" s="294"/>
      <c r="D517" s="294"/>
      <c r="E517" s="294"/>
      <c r="F517" s="294"/>
      <c r="G517" s="294"/>
      <c r="H517" s="294"/>
      <c r="I517" s="294"/>
      <c r="J517" s="294"/>
      <c r="K517" s="294"/>
      <c r="L517" s="294"/>
      <c r="M517" s="294"/>
      <c r="N517" s="294"/>
      <c r="O517" s="294"/>
      <c r="P517" s="294"/>
    </row>
    <row r="518" spans="1:16" ht="15.75" customHeight="1">
      <c r="A518" s="294"/>
      <c r="B518" s="294"/>
      <c r="C518" s="294"/>
      <c r="D518" s="294"/>
      <c r="E518" s="294"/>
      <c r="F518" s="294"/>
      <c r="G518" s="294"/>
      <c r="H518" s="294"/>
      <c r="I518" s="294"/>
      <c r="J518" s="294"/>
      <c r="K518" s="294"/>
      <c r="L518" s="294"/>
      <c r="M518" s="294"/>
      <c r="N518" s="294"/>
      <c r="O518" s="294"/>
      <c r="P518" s="294"/>
    </row>
    <row r="519" spans="1:16" ht="15.75" customHeight="1">
      <c r="A519" s="392" t="s">
        <v>409</v>
      </c>
      <c r="B519" s="294"/>
      <c r="C519" s="294"/>
      <c r="D519" s="294"/>
      <c r="E519" s="294"/>
      <c r="F519" s="294"/>
      <c r="G519" s="294"/>
      <c r="H519" s="294"/>
      <c r="I519" s="294"/>
      <c r="J519" s="294"/>
      <c r="K519" s="294"/>
      <c r="L519" s="294"/>
      <c r="M519" s="294"/>
      <c r="N519" s="294"/>
      <c r="O519" s="294"/>
      <c r="P519" s="294"/>
    </row>
    <row r="520" spans="1:16" ht="15.75" customHeight="1">
      <c r="A520" s="294"/>
      <c r="B520" s="294"/>
      <c r="C520" s="294"/>
      <c r="D520" s="294"/>
      <c r="E520" s="294"/>
      <c r="F520" s="294"/>
      <c r="G520" s="294"/>
      <c r="H520" s="294"/>
      <c r="I520" s="294"/>
      <c r="J520" s="294"/>
      <c r="K520" s="294"/>
      <c r="L520" s="294"/>
      <c r="M520" s="294"/>
      <c r="N520" s="294"/>
      <c r="O520" s="294"/>
      <c r="P520" s="294"/>
    </row>
    <row r="521" spans="1:16" ht="15.75" customHeight="1">
      <c r="A521" s="488" t="s">
        <v>410</v>
      </c>
      <c r="B521" s="294"/>
      <c r="C521" s="294"/>
      <c r="D521" s="294"/>
      <c r="E521" s="294"/>
      <c r="F521" s="294"/>
      <c r="G521" s="294"/>
      <c r="H521" s="294"/>
      <c r="I521" s="294"/>
      <c r="J521" s="294"/>
      <c r="K521" s="294"/>
      <c r="L521" s="294"/>
      <c r="M521" s="294"/>
      <c r="N521" s="294"/>
      <c r="O521" s="294"/>
      <c r="P521" s="294"/>
    </row>
    <row r="522" spans="1:16" ht="15.75" customHeight="1">
      <c r="A522" s="331"/>
      <c r="B522" s="294"/>
      <c r="C522" s="294"/>
      <c r="D522" s="294"/>
      <c r="E522" s="294"/>
      <c r="F522" s="294"/>
      <c r="G522" s="294"/>
      <c r="H522" s="294"/>
      <c r="I522" s="294"/>
      <c r="J522" s="294"/>
      <c r="K522" s="294"/>
      <c r="L522" s="294"/>
      <c r="M522" s="294"/>
      <c r="N522" s="294"/>
      <c r="O522" s="294"/>
      <c r="P522" s="294"/>
    </row>
    <row r="523" spans="1:16" ht="15.75" customHeight="1">
      <c r="A523" s="294"/>
      <c r="B523" s="294"/>
      <c r="C523" s="294"/>
      <c r="D523" s="294"/>
      <c r="E523" s="294"/>
      <c r="F523" s="294"/>
      <c r="G523" s="294"/>
      <c r="H523" s="294"/>
      <c r="I523" s="294"/>
      <c r="J523" s="294"/>
      <c r="K523" s="294"/>
      <c r="L523" s="294"/>
      <c r="M523" s="294"/>
      <c r="N523" s="294"/>
      <c r="O523" s="294"/>
      <c r="P523" s="294"/>
    </row>
    <row r="524" spans="1:16" ht="15.75" customHeight="1">
      <c r="A524" s="294"/>
      <c r="B524" s="294"/>
      <c r="C524" s="294"/>
      <c r="D524" s="294"/>
      <c r="E524" s="294"/>
      <c r="F524" s="294"/>
      <c r="G524" s="294"/>
      <c r="H524" s="294"/>
      <c r="I524" s="294"/>
      <c r="J524" s="294"/>
      <c r="K524" s="294"/>
      <c r="L524" s="294"/>
      <c r="M524" s="294"/>
      <c r="N524" s="294"/>
      <c r="O524" s="294"/>
      <c r="P524" s="294"/>
    </row>
    <row r="525" spans="1:16" ht="15.75" customHeight="1">
      <c r="A525" s="294"/>
      <c r="B525" s="294"/>
      <c r="C525" s="294"/>
      <c r="D525" s="294"/>
      <c r="E525" s="294"/>
      <c r="F525" s="294"/>
      <c r="G525" s="294"/>
      <c r="H525" s="294"/>
      <c r="I525" s="294"/>
      <c r="J525" s="294"/>
      <c r="K525" s="294"/>
      <c r="L525" s="294"/>
      <c r="M525" s="294"/>
      <c r="N525" s="294"/>
      <c r="O525" s="294"/>
      <c r="P525" s="294"/>
    </row>
    <row r="526" spans="1:16" ht="15.75" customHeight="1">
      <c r="A526" s="294"/>
      <c r="B526" s="294"/>
      <c r="C526" s="294"/>
      <c r="D526" s="294"/>
      <c r="E526" s="294"/>
      <c r="F526" s="294"/>
      <c r="G526" s="294"/>
      <c r="H526" s="294"/>
      <c r="I526" s="294"/>
      <c r="J526" s="294"/>
      <c r="K526" s="294"/>
      <c r="L526" s="294"/>
      <c r="M526" s="294"/>
      <c r="N526" s="294"/>
      <c r="O526" s="294"/>
      <c r="P526" s="294"/>
    </row>
    <row r="527" spans="1:16" ht="15.75" customHeight="1">
      <c r="A527" s="350"/>
      <c r="B527" s="319"/>
      <c r="C527" s="319"/>
      <c r="D527" s="431" t="str">
        <f>$D$100</f>
        <v>Av1</v>
      </c>
      <c r="E527" s="319"/>
      <c r="F527" s="432" t="s">
        <v>39</v>
      </c>
      <c r="G527" s="431" t="str">
        <f ca="1">$G$100</f>
        <v>Av13</v>
      </c>
      <c r="H527" s="319"/>
      <c r="I527" s="432" t="s">
        <v>39</v>
      </c>
      <c r="J527" s="431" t="str">
        <f ca="1">$J$100</f>
        <v>Av14</v>
      </c>
      <c r="K527" s="319"/>
      <c r="L527" s="432" t="s">
        <v>39</v>
      </c>
      <c r="M527" s="431" t="str">
        <f ca="1">$M$100</f>
        <v>Av15</v>
      </c>
      <c r="N527" s="319"/>
      <c r="O527" s="431" t="s">
        <v>356</v>
      </c>
      <c r="P527" s="319"/>
    </row>
    <row r="528" spans="1:16" ht="15.75" customHeight="1">
      <c r="A528" s="317"/>
      <c r="B528" s="317"/>
      <c r="C528" s="317"/>
      <c r="D528" s="365">
        <f ca="1">OFFSET(BD!$A$2,,MATCH(D527,BD!$B$1:$P$1,0))</f>
        <v>44517</v>
      </c>
      <c r="E528" s="317"/>
      <c r="F528" s="317"/>
      <c r="G528" s="365">
        <f ca="1">OFFSET(BD!$A$2,,MATCH(G527,BD!$B$1:$P$1,0))</f>
        <v>0</v>
      </c>
      <c r="H528" s="317"/>
      <c r="I528" s="317"/>
      <c r="J528" s="365">
        <f ca="1">OFFSET(BD!$A$2,,MATCH(J527,BD!$B$1:$P$1,0))</f>
        <v>0</v>
      </c>
      <c r="K528" s="317"/>
      <c r="L528" s="317"/>
      <c r="M528" s="365">
        <f ca="1">OFFSET(BD!$A$2,,MATCH(M527,BD!$B$1:$P$1,0))</f>
        <v>0</v>
      </c>
      <c r="N528" s="317"/>
      <c r="O528" s="317"/>
      <c r="P528" s="317"/>
    </row>
    <row r="529" spans="1:16" ht="15.75" customHeight="1">
      <c r="A529" s="447" t="s">
        <v>190</v>
      </c>
      <c r="B529" s="294"/>
      <c r="C529" s="294"/>
      <c r="D529" s="487" t="str">
        <f ca="1">OFFSET(BD!$A$136,0,MATCH(D$527,BD!$B$1:$P$1,0))</f>
        <v>-</v>
      </c>
      <c r="E529" s="319"/>
      <c r="F529" s="294"/>
      <c r="G529" s="487" t="str">
        <f ca="1">OFFSET(BD!$A$136,0,MATCH(G$527,BD!$B$1:$P$1,0))</f>
        <v>-</v>
      </c>
      <c r="H529" s="319"/>
      <c r="I529" s="294"/>
      <c r="J529" s="487" t="str">
        <f ca="1">OFFSET(BD!$A$136,0,MATCH(J$527,BD!$B$1:$P$1,0))</f>
        <v>-</v>
      </c>
      <c r="K529" s="319"/>
      <c r="L529" s="294"/>
      <c r="M529" s="487" t="str">
        <f ca="1">OFFSET(BD!$A$136,0,MATCH(M$527,BD!$B$1:$P$1,0))</f>
        <v>-</v>
      </c>
      <c r="N529" s="319"/>
      <c r="O529" s="356" t="s">
        <v>55</v>
      </c>
      <c r="P529" s="294"/>
    </row>
    <row r="530" spans="1:16" ht="15.75" customHeight="1">
      <c r="A530" s="294"/>
      <c r="B530" s="294"/>
      <c r="C530" s="294"/>
      <c r="D530" s="294"/>
      <c r="E530" s="294"/>
      <c r="F530" s="294"/>
      <c r="G530" s="294"/>
      <c r="H530" s="294"/>
      <c r="I530" s="294"/>
      <c r="J530" s="294"/>
      <c r="K530" s="294"/>
      <c r="L530" s="294"/>
      <c r="M530" s="294"/>
      <c r="N530" s="294"/>
      <c r="O530" s="294"/>
      <c r="P530" s="294"/>
    </row>
    <row r="531" spans="1:16" ht="15.75" customHeight="1">
      <c r="A531" s="447" t="s">
        <v>411</v>
      </c>
      <c r="B531" s="294"/>
      <c r="C531" s="294"/>
      <c r="D531" s="331">
        <f ca="1">OFFSET(BD!$A$137,0,MATCH(D$527,BD!$B$1:$P$1,0))</f>
        <v>52</v>
      </c>
      <c r="E531" s="294"/>
      <c r="F531" s="434" t="str">
        <f ca="1">IF(OR(D531="-",G531="-"),"-",(G531-D531)*100/D531)</f>
        <v>-</v>
      </c>
      <c r="G531" s="331" t="str">
        <f ca="1">OFFSET(BD!$A$137,0,MATCH(G$527,BD!$B$1:$P$1,0))</f>
        <v>-</v>
      </c>
      <c r="H531" s="294"/>
      <c r="I531" s="434" t="str">
        <f ca="1">IF(OR(G531="-",J531="-"),"-",(J531-G531)*100/G531)</f>
        <v>-</v>
      </c>
      <c r="J531" s="331" t="str">
        <f ca="1">OFFSET(BD!$A$137,0,MATCH(J$527,BD!$B$1:$P$1,0))</f>
        <v>-</v>
      </c>
      <c r="K531" s="294"/>
      <c r="L531" s="434" t="str">
        <f ca="1">IF(OR(J531="-",M531="-"),"-",(M531-J531)*100/J531)</f>
        <v>-</v>
      </c>
      <c r="M531" s="331" t="str">
        <f ca="1">OFFSET(BD!$A$137,0,MATCH(M$527,BD!$B$1:$P$1,0))</f>
        <v>-</v>
      </c>
      <c r="N531" s="294"/>
      <c r="O531" s="468" t="e">
        <f ca="1">'BD tratado'!D137</f>
        <v>#NAME?</v>
      </c>
      <c r="P531" s="294"/>
    </row>
    <row r="532" spans="1:16" ht="15.75" customHeight="1">
      <c r="A532" s="294"/>
      <c r="B532" s="294"/>
      <c r="C532" s="294"/>
      <c r="D532" s="294"/>
      <c r="E532" s="294"/>
      <c r="F532" s="294"/>
      <c r="G532" s="294"/>
      <c r="H532" s="294"/>
      <c r="I532" s="294"/>
      <c r="J532" s="294"/>
      <c r="K532" s="294"/>
      <c r="L532" s="294"/>
      <c r="M532" s="294"/>
      <c r="N532" s="294"/>
      <c r="O532" s="294"/>
      <c r="P532" s="294"/>
    </row>
    <row r="533" spans="1:16" ht="15.75" customHeight="1">
      <c r="A533" s="433" t="s">
        <v>412</v>
      </c>
      <c r="B533" s="294"/>
      <c r="C533" s="294"/>
      <c r="D533" s="331">
        <f ca="1">OFFSET(BD!$A$138,0,MATCH(D$527,BD!$B$1:$P$1,0))</f>
        <v>42.3</v>
      </c>
      <c r="E533" s="294"/>
      <c r="F533" s="434" t="str">
        <f ca="1">IF(OR(D533="-",G533="-"),"-",(G533-D533)*100/D533)</f>
        <v>-</v>
      </c>
      <c r="G533" s="331" t="str">
        <f ca="1">OFFSET(BD!$A$138,0,MATCH(G$527,BD!$B$1:$P$1,0))</f>
        <v>-</v>
      </c>
      <c r="H533" s="294"/>
      <c r="I533" s="434" t="str">
        <f ca="1">IF(OR(G533="-",J533="-"),"-",(J533-G533)*100/G533)</f>
        <v>-</v>
      </c>
      <c r="J533" s="331" t="str">
        <f ca="1">OFFSET(BD!$A$138,0,MATCH(J$527,BD!$B$1:$P$1,0))</f>
        <v>-</v>
      </c>
      <c r="K533" s="294"/>
      <c r="L533" s="434" t="str">
        <f ca="1">IF(OR(J533="-",M533="-"),"-",(M533-J533)*100/J533)</f>
        <v>-</v>
      </c>
      <c r="M533" s="331" t="str">
        <f ca="1">OFFSET(BD!$A$138,0,MATCH(M$527,BD!$B$1:$P$1,0))</f>
        <v>-</v>
      </c>
      <c r="N533" s="294"/>
      <c r="O533" s="468" t="e">
        <f ca="1">'BD tratado'!D138</f>
        <v>#NAME?</v>
      </c>
      <c r="P533" s="294"/>
    </row>
    <row r="534" spans="1:16" ht="15.75" customHeight="1">
      <c r="A534" s="294"/>
      <c r="B534" s="294"/>
      <c r="C534" s="294"/>
      <c r="D534" s="294"/>
      <c r="E534" s="294"/>
      <c r="F534" s="294"/>
      <c r="G534" s="294"/>
      <c r="H534" s="294"/>
      <c r="I534" s="294"/>
      <c r="J534" s="294"/>
      <c r="K534" s="294"/>
      <c r="L534" s="294"/>
      <c r="M534" s="294"/>
      <c r="N534" s="294"/>
      <c r="O534" s="294"/>
      <c r="P534" s="294"/>
    </row>
    <row r="535" spans="1:16" ht="15.75" customHeight="1">
      <c r="A535" s="433" t="s">
        <v>413</v>
      </c>
      <c r="B535" s="294"/>
      <c r="C535" s="294"/>
      <c r="D535" s="331" t="str">
        <f ca="1">OFFSET(BD!$A$139,0,MATCH(D$527,BD!$B$1:$P$1,0))</f>
        <v>-</v>
      </c>
      <c r="E535" s="294"/>
      <c r="F535" s="434"/>
      <c r="G535" s="329" t="str">
        <f ca="1">OFFSET(BD!$A$139,0,MATCH(G$527,BD!$B$1:$P$1,0))</f>
        <v>-</v>
      </c>
      <c r="H535" s="294"/>
      <c r="I535" s="434"/>
      <c r="J535" s="331" t="str">
        <f ca="1">OFFSET(BD!$A$139,0,MATCH(J$527,BD!$B$1:$P$1,0))</f>
        <v>-</v>
      </c>
      <c r="K535" s="294"/>
      <c r="L535" s="434"/>
      <c r="M535" s="331" t="str">
        <f ca="1">OFFSET(BD!$A$139,0,MATCH(M$527,BD!$B$1:$P$1,0))</f>
        <v>-</v>
      </c>
      <c r="N535" s="294"/>
      <c r="O535" s="485" t="e">
        <f ca="1">'BD tratado'!D139</f>
        <v>#NAME?</v>
      </c>
      <c r="P535" s="294"/>
    </row>
    <row r="536" spans="1:16" ht="15.75" customHeight="1">
      <c r="A536" s="294"/>
      <c r="B536" s="294"/>
      <c r="C536" s="294"/>
      <c r="D536" s="294"/>
      <c r="E536" s="294"/>
      <c r="F536" s="294"/>
      <c r="G536" s="294"/>
      <c r="H536" s="294"/>
      <c r="I536" s="294"/>
      <c r="J536" s="294"/>
      <c r="K536" s="294"/>
      <c r="L536" s="294"/>
      <c r="M536" s="294"/>
      <c r="N536" s="294"/>
      <c r="O536" s="294"/>
      <c r="P536" s="294"/>
    </row>
    <row r="537" spans="1:16" ht="15.75" customHeight="1">
      <c r="A537" s="433" t="s">
        <v>414</v>
      </c>
      <c r="B537" s="294"/>
      <c r="C537" s="294"/>
      <c r="D537" s="331">
        <f ca="1">OFFSET(BD!$A$140,0,MATCH(D$527,BD!$B$1:$P$1,0))</f>
        <v>147</v>
      </c>
      <c r="E537" s="294"/>
      <c r="F537" s="434" t="str">
        <f ca="1">IF(OR(D537="-",G537="-"),"-",(G537-D537)*100/D537)</f>
        <v>-</v>
      </c>
      <c r="G537" s="331" t="str">
        <f ca="1">OFFSET(BD!$A$140,0,MATCH(G$527,BD!$B$1:$P$1,0))</f>
        <v>-</v>
      </c>
      <c r="H537" s="294"/>
      <c r="I537" s="434" t="str">
        <f ca="1">IF(OR(G537="-",J537="-"),"-",(J537-G537)*100/G537)</f>
        <v>-</v>
      </c>
      <c r="J537" s="331" t="str">
        <f ca="1">OFFSET(BD!$A$140,0,MATCH(J$527,BD!$B$1:$P$1,0))</f>
        <v>-</v>
      </c>
      <c r="K537" s="294"/>
      <c r="L537" s="434" t="str">
        <f ca="1">IF(OR(J537="-",M537="-"),"-",(M537-J537)*100/J537)</f>
        <v>-</v>
      </c>
      <c r="M537" s="331" t="str">
        <f ca="1">OFFSET(BD!$A$140,0,MATCH(M$527,BD!$B$1:$P$1,0))</f>
        <v>-</v>
      </c>
      <c r="N537" s="294"/>
      <c r="O537" s="468" t="e">
        <f ca="1">'BD tratado'!D140</f>
        <v>#NAME?</v>
      </c>
      <c r="P537" s="294"/>
    </row>
    <row r="538" spans="1:16" ht="15.75" customHeight="1">
      <c r="A538" s="294"/>
      <c r="B538" s="294"/>
      <c r="C538" s="294"/>
      <c r="D538" s="294"/>
      <c r="E538" s="294"/>
      <c r="F538" s="294"/>
      <c r="G538" s="294"/>
      <c r="H538" s="294"/>
      <c r="I538" s="294"/>
      <c r="J538" s="294"/>
      <c r="K538" s="294"/>
      <c r="L538" s="294"/>
      <c r="M538" s="294"/>
      <c r="N538" s="294"/>
      <c r="O538" s="294"/>
      <c r="P538" s="294"/>
    </row>
    <row r="539" spans="1:16" ht="15.75" customHeight="1">
      <c r="A539" s="433" t="s">
        <v>415</v>
      </c>
      <c r="B539" s="294"/>
      <c r="C539" s="294"/>
      <c r="D539" s="331">
        <f ca="1">OFFSET(BD!$A$141,0,MATCH(D$527,BD!$B$1:$P$1,0))</f>
        <v>10</v>
      </c>
      <c r="E539" s="294"/>
      <c r="F539" s="434" t="str">
        <f ca="1">IF(OR(D539="-",G539="-"),"-",(G539-D539)*100/D539)</f>
        <v>-</v>
      </c>
      <c r="G539" s="331" t="str">
        <f ca="1">OFFSET(BD!$A$141,0,MATCH(G$527,BD!$B$1:$P$1,0))</f>
        <v>-</v>
      </c>
      <c r="H539" s="294"/>
      <c r="I539" s="434" t="str">
        <f ca="1">IF(OR(G539="-",J539="-"),"-",(J539-G539)*100/G539)</f>
        <v>-</v>
      </c>
      <c r="J539" s="331" t="str">
        <f ca="1">OFFSET(BD!$A$141,0,MATCH(J$527,BD!$B$1:$P$1,0))</f>
        <v>-</v>
      </c>
      <c r="K539" s="294"/>
      <c r="L539" s="434" t="str">
        <f ca="1">IF(OR(J539="-",M539="-"),"-",(M539-J539)*100/J539)</f>
        <v>-</v>
      </c>
      <c r="M539" s="331" t="str">
        <f ca="1">OFFSET(BD!$A$141,0,MATCH(M$527,BD!$B$1:$P$1,0))</f>
        <v>-</v>
      </c>
      <c r="N539" s="294"/>
      <c r="O539" s="468" t="e">
        <f ca="1">'BD tratado'!D141</f>
        <v>#NAME?</v>
      </c>
      <c r="P539" s="294"/>
    </row>
    <row r="540" spans="1:16" ht="15.75" customHeight="1">
      <c r="A540" s="294"/>
      <c r="B540" s="294"/>
      <c r="C540" s="294"/>
      <c r="D540" s="294"/>
      <c r="E540" s="294"/>
      <c r="F540" s="294"/>
      <c r="G540" s="294"/>
      <c r="H540" s="294"/>
      <c r="I540" s="294"/>
      <c r="J540" s="294"/>
      <c r="K540" s="294"/>
      <c r="L540" s="294"/>
      <c r="M540" s="294"/>
      <c r="N540" s="294"/>
      <c r="O540" s="294"/>
      <c r="P540" s="294"/>
    </row>
    <row r="541" spans="1:16" ht="15.75" customHeight="1">
      <c r="A541" s="433" t="s">
        <v>416</v>
      </c>
      <c r="B541" s="294"/>
      <c r="C541" s="294"/>
      <c r="D541" s="468">
        <f ca="1">OFFSET(BD!$A$142,0,MATCH(D$527,BD!$B$1:$P$1,0))</f>
        <v>6</v>
      </c>
      <c r="E541" s="294"/>
      <c r="F541" s="434" t="str">
        <f ca="1">IF(OR(D541="-",G541="-"),"-",(G541-D541)*100/D541)</f>
        <v>-</v>
      </c>
      <c r="G541" s="468" t="str">
        <f ca="1">OFFSET(BD!$A$142,0,MATCH(G$527,BD!$B$1:$P$1,0))</f>
        <v>-</v>
      </c>
      <c r="H541" s="294"/>
      <c r="I541" s="434" t="str">
        <f ca="1">IF(OR(G541="-",J541="-"),"-",(J541-G541)*100/G541)</f>
        <v>-</v>
      </c>
      <c r="J541" s="331" t="str">
        <f ca="1">OFFSET(BD!$A$142,0,MATCH(J$527,BD!$B$1:$P$1,0))</f>
        <v>-</v>
      </c>
      <c r="K541" s="294"/>
      <c r="L541" s="434" t="str">
        <f ca="1">IF(OR(J541="-",M541="-"),"-",(M541-J541)*100/J541)</f>
        <v>-</v>
      </c>
      <c r="M541" s="331" t="str">
        <f ca="1">OFFSET(BD!$A$142,0,MATCH(M$527,BD!$B$1:$P$1,0))</f>
        <v>-</v>
      </c>
      <c r="N541" s="294"/>
      <c r="O541" s="468" t="e">
        <f ca="1">'BD tratado'!D142</f>
        <v>#NAME?</v>
      </c>
      <c r="P541" s="294"/>
    </row>
    <row r="542" spans="1:16" ht="15.75" customHeight="1">
      <c r="A542" s="294"/>
      <c r="B542" s="294"/>
      <c r="C542" s="294"/>
      <c r="D542" s="294"/>
      <c r="E542" s="294"/>
      <c r="F542" s="294"/>
      <c r="G542" s="294"/>
      <c r="H542" s="294"/>
      <c r="I542" s="294"/>
      <c r="J542" s="294"/>
      <c r="K542" s="294"/>
      <c r="L542" s="294"/>
      <c r="M542" s="294"/>
      <c r="N542" s="294"/>
      <c r="O542" s="294"/>
      <c r="P542" s="294"/>
    </row>
    <row r="543" spans="1:16" ht="15.75" customHeight="1">
      <c r="A543" s="433" t="s">
        <v>417</v>
      </c>
      <c r="B543" s="294"/>
      <c r="C543" s="294"/>
      <c r="D543" s="331">
        <f ca="1">OFFSET(BD!$A$143,0,MATCH(D$527,BD!$B$1:$P$1,0))</f>
        <v>13</v>
      </c>
      <c r="E543" s="294"/>
      <c r="F543" s="434" t="str">
        <f ca="1">IF(OR(D543="-",G543="-"),"-",(G543-D543)*100/D543)</f>
        <v>-</v>
      </c>
      <c r="G543" s="331" t="str">
        <f ca="1">OFFSET(BD!$A$143,0,MATCH(G$527,BD!$B$1:$P$1,0))</f>
        <v>-</v>
      </c>
      <c r="H543" s="294"/>
      <c r="I543" s="434" t="str">
        <f ca="1">IF(OR(G543="-",J543="-"),"-",(J543-G543)*100/G543)</f>
        <v>-</v>
      </c>
      <c r="J543" s="331" t="str">
        <f ca="1">OFFSET(BD!$A$143,0,MATCH(J$527,BD!$B$1:$P$1,0))</f>
        <v>-</v>
      </c>
      <c r="K543" s="294"/>
      <c r="L543" s="434" t="str">
        <f ca="1">IF(OR(J543="-",M543="-"),"-",(M543-J543)*100/J543)</f>
        <v>-</v>
      </c>
      <c r="M543" s="331" t="str">
        <f ca="1">OFFSET(BD!$A$143,0,MATCH(M$527,BD!$B$1:$P$1,0))</f>
        <v>-</v>
      </c>
      <c r="N543" s="294"/>
      <c r="O543" s="468" t="e">
        <f ca="1">'BD tratado'!D143</f>
        <v>#NAME?</v>
      </c>
      <c r="P543" s="294"/>
    </row>
    <row r="544" spans="1:16" ht="15.75" customHeight="1">
      <c r="A544" s="294"/>
      <c r="B544" s="294"/>
      <c r="C544" s="294"/>
      <c r="D544" s="294"/>
      <c r="E544" s="294"/>
      <c r="F544" s="294"/>
      <c r="G544" s="294"/>
      <c r="H544" s="294"/>
      <c r="I544" s="294"/>
      <c r="J544" s="294"/>
      <c r="K544" s="294"/>
      <c r="L544" s="294"/>
      <c r="M544" s="294"/>
      <c r="N544" s="294"/>
      <c r="O544" s="294"/>
      <c r="P544" s="294"/>
    </row>
    <row r="545" spans="1:16" ht="15.75" customHeight="1">
      <c r="A545" s="433" t="s">
        <v>418</v>
      </c>
      <c r="B545" s="294"/>
      <c r="C545" s="294"/>
      <c r="D545" s="329">
        <f ca="1">OFFSET(BD!$A$144,0,MATCH(D$527,BD!$B$1:$P$1,0))</f>
        <v>172.23500000000001</v>
      </c>
      <c r="E545" s="294"/>
      <c r="F545" s="434" t="str">
        <f ca="1">IF(OR(D545="-",G545="-"),"-",(G545-D545)*100/D545)</f>
        <v>-</v>
      </c>
      <c r="G545" s="329" t="str">
        <f ca="1">OFFSET(BD!$A$144,0,MATCH(G$527,BD!$B$1:$P$1,0))</f>
        <v>-</v>
      </c>
      <c r="H545" s="294"/>
      <c r="I545" s="434" t="str">
        <f ca="1">IF(OR(G545="-",J545="-"),"-",(J545-G545)*100/G545)</f>
        <v>-</v>
      </c>
      <c r="J545" s="331" t="str">
        <f ca="1">OFFSET(BD!$A$144,0,MATCH(J$527,BD!$B$1:$P$1,0))</f>
        <v>-</v>
      </c>
      <c r="K545" s="294"/>
      <c r="L545" s="434" t="str">
        <f ca="1">IF(OR(J545="-",M545="-"),"-",(M545-J545)*100/J545)</f>
        <v>-</v>
      </c>
      <c r="M545" s="331" t="str">
        <f ca="1">OFFSET(BD!$A$144,0,MATCH(M$527,BD!$B$1:$P$1,0))</f>
        <v>-</v>
      </c>
      <c r="N545" s="294"/>
      <c r="O545" s="468" t="e">
        <f ca="1">'BD tratado'!D144</f>
        <v>#NAME?</v>
      </c>
      <c r="P545" s="294"/>
    </row>
    <row r="546" spans="1:16" ht="15.75" customHeight="1">
      <c r="A546" s="294"/>
      <c r="B546" s="294"/>
      <c r="C546" s="294"/>
      <c r="D546" s="294"/>
      <c r="E546" s="294"/>
      <c r="F546" s="294"/>
      <c r="G546" s="294"/>
      <c r="H546" s="294"/>
      <c r="I546" s="294"/>
      <c r="J546" s="294"/>
      <c r="K546" s="294"/>
      <c r="L546" s="294"/>
      <c r="M546" s="294"/>
      <c r="N546" s="294"/>
      <c r="O546" s="294"/>
      <c r="P546" s="294"/>
    </row>
    <row r="547" spans="1:16" ht="15.75" customHeight="1">
      <c r="A547" s="433" t="s">
        <v>419</v>
      </c>
      <c r="B547" s="294"/>
      <c r="C547" s="294"/>
      <c r="D547" s="331">
        <f ca="1">OFFSET(BD!$A$145,0,MATCH(D$527,BD!$B$1:$P$1,0))</f>
        <v>170</v>
      </c>
      <c r="E547" s="294"/>
      <c r="F547" s="434" t="str">
        <f ca="1">IF(OR(D547="-",G547="-"),"-",(G547-D547)*100/D547)</f>
        <v>-</v>
      </c>
      <c r="G547" s="331" t="str">
        <f ca="1">OFFSET(BD!$A$145,0,MATCH(G$527,BD!$B$1:$P$1,0))</f>
        <v>-</v>
      </c>
      <c r="H547" s="294"/>
      <c r="I547" s="434" t="str">
        <f ca="1">IF(OR(G547="-",J547="-"),"-",(J547-G547)*100/G547)</f>
        <v>-</v>
      </c>
      <c r="J547" s="331" t="str">
        <f ca="1">OFFSET(BD!$A$145,0,MATCH(J$527,BD!$B$1:$P$1,0))</f>
        <v>-</v>
      </c>
      <c r="K547" s="294"/>
      <c r="L547" s="434" t="str">
        <f ca="1">IF(OR(J547="-",M547="-"),"-",(M547-J547)*100/J547)</f>
        <v>-</v>
      </c>
      <c r="M547" s="331" t="str">
        <f ca="1">OFFSET(BD!$A$145,0,MATCH(M$527,BD!$B$1:$P$1,0))</f>
        <v>-</v>
      </c>
      <c r="N547" s="294"/>
      <c r="O547" s="468" t="e">
        <f ca="1">'BD tratado'!D145</f>
        <v>#NAME?</v>
      </c>
      <c r="P547" s="294"/>
    </row>
    <row r="548" spans="1:16" ht="15.75" customHeight="1">
      <c r="A548" s="317"/>
      <c r="B548" s="317"/>
      <c r="C548" s="317"/>
      <c r="D548" s="317"/>
      <c r="E548" s="317"/>
      <c r="F548" s="317"/>
      <c r="G548" s="317"/>
      <c r="H548" s="317"/>
      <c r="I548" s="317"/>
      <c r="J548" s="317"/>
      <c r="K548" s="317"/>
      <c r="L548" s="317"/>
      <c r="M548" s="317"/>
      <c r="N548" s="317"/>
      <c r="O548" s="317"/>
      <c r="P548" s="317"/>
    </row>
    <row r="549" spans="1:16" ht="15.75" customHeight="1">
      <c r="A549" s="68"/>
      <c r="B549" s="68"/>
      <c r="C549" s="68"/>
      <c r="D549" s="68"/>
      <c r="E549" s="68"/>
      <c r="F549" s="68"/>
      <c r="G549" s="68"/>
      <c r="H549" s="68"/>
      <c r="I549" s="68"/>
      <c r="J549" s="68"/>
      <c r="K549" s="68"/>
      <c r="L549" s="68"/>
      <c r="M549" s="68"/>
      <c r="N549" s="68"/>
      <c r="O549" s="68"/>
      <c r="P549" s="68"/>
    </row>
    <row r="550" spans="1:16" ht="15.75" customHeight="1">
      <c r="A550" s="331"/>
      <c r="B550" s="294"/>
      <c r="C550" s="294"/>
      <c r="D550" s="294"/>
      <c r="E550" s="294"/>
      <c r="F550" s="294"/>
      <c r="G550" s="294"/>
      <c r="H550" s="294"/>
      <c r="I550" s="294"/>
      <c r="J550" s="294"/>
      <c r="K550" s="294"/>
      <c r="L550" s="294"/>
      <c r="M550" s="294"/>
      <c r="N550" s="294"/>
      <c r="O550" s="294"/>
      <c r="P550" s="294"/>
    </row>
    <row r="551" spans="1:16" ht="15.75" customHeight="1">
      <c r="A551" s="294"/>
      <c r="B551" s="294"/>
      <c r="C551" s="294"/>
      <c r="D551" s="294"/>
      <c r="E551" s="294"/>
      <c r="F551" s="294"/>
      <c r="G551" s="294"/>
      <c r="H551" s="294"/>
      <c r="I551" s="294"/>
      <c r="J551" s="294"/>
      <c r="K551" s="294"/>
      <c r="L551" s="294"/>
      <c r="M551" s="294"/>
      <c r="N551" s="294"/>
      <c r="O551" s="294"/>
      <c r="P551" s="294"/>
    </row>
    <row r="552" spans="1:16" ht="15.75" customHeight="1">
      <c r="A552" s="294"/>
      <c r="B552" s="294"/>
      <c r="C552" s="294"/>
      <c r="D552" s="294"/>
      <c r="E552" s="294"/>
      <c r="F552" s="294"/>
      <c r="G552" s="294"/>
      <c r="H552" s="294"/>
      <c r="I552" s="294"/>
      <c r="J552" s="294"/>
      <c r="K552" s="294"/>
      <c r="L552" s="294"/>
      <c r="M552" s="294"/>
      <c r="N552" s="294"/>
      <c r="O552" s="294"/>
      <c r="P552" s="294"/>
    </row>
    <row r="553" spans="1:16" ht="15.75" customHeight="1">
      <c r="A553" s="294"/>
      <c r="B553" s="294"/>
      <c r="C553" s="294"/>
      <c r="D553" s="294"/>
      <c r="E553" s="294"/>
      <c r="F553" s="294"/>
      <c r="G553" s="294"/>
      <c r="H553" s="294"/>
      <c r="I553" s="294"/>
      <c r="J553" s="294"/>
      <c r="K553" s="294"/>
      <c r="L553" s="294"/>
      <c r="M553" s="294"/>
      <c r="N553" s="294"/>
      <c r="O553" s="294"/>
      <c r="P553" s="294"/>
    </row>
    <row r="554" spans="1:16" ht="15.75" customHeight="1">
      <c r="A554" s="294"/>
      <c r="B554" s="294"/>
      <c r="C554" s="294"/>
      <c r="D554" s="294"/>
      <c r="E554" s="294"/>
      <c r="F554" s="294"/>
      <c r="G554" s="294"/>
      <c r="H554" s="294"/>
      <c r="I554" s="294"/>
      <c r="J554" s="294"/>
      <c r="K554" s="294"/>
      <c r="L554" s="294"/>
      <c r="M554" s="294"/>
      <c r="N554" s="294"/>
      <c r="O554" s="294"/>
      <c r="P554" s="294"/>
    </row>
    <row r="555" spans="1:16" ht="15.75" customHeight="1">
      <c r="A555" s="294"/>
      <c r="B555" s="294"/>
      <c r="C555" s="294"/>
      <c r="D555" s="294"/>
      <c r="E555" s="294"/>
      <c r="F555" s="294"/>
      <c r="G555" s="294"/>
      <c r="H555" s="294"/>
      <c r="I555" s="294"/>
      <c r="J555" s="294"/>
      <c r="K555" s="294"/>
      <c r="L555" s="294"/>
      <c r="M555" s="294"/>
      <c r="N555" s="294"/>
      <c r="O555" s="294"/>
      <c r="P555" s="294"/>
    </row>
    <row r="556" spans="1:16" ht="15.75" customHeight="1">
      <c r="A556" s="294"/>
      <c r="B556" s="294"/>
      <c r="C556" s="294"/>
      <c r="D556" s="294"/>
      <c r="E556" s="294"/>
      <c r="F556" s="294"/>
      <c r="G556" s="294"/>
      <c r="H556" s="294"/>
      <c r="I556" s="294"/>
      <c r="J556" s="294"/>
      <c r="K556" s="294"/>
      <c r="L556" s="294"/>
      <c r="M556" s="294"/>
      <c r="N556" s="294"/>
      <c r="O556" s="294"/>
      <c r="P556" s="294"/>
    </row>
    <row r="557" spans="1:16" ht="15.75" customHeight="1">
      <c r="A557" s="294"/>
      <c r="B557" s="294"/>
      <c r="C557" s="294"/>
      <c r="D557" s="294"/>
      <c r="E557" s="294"/>
      <c r="F557" s="294"/>
      <c r="G557" s="294"/>
      <c r="H557" s="294"/>
      <c r="I557" s="294"/>
      <c r="J557" s="294"/>
      <c r="K557" s="294"/>
      <c r="L557" s="294"/>
      <c r="M557" s="294"/>
      <c r="N557" s="294"/>
      <c r="O557" s="294"/>
      <c r="P557" s="294"/>
    </row>
    <row r="558" spans="1:16" ht="15.75" customHeight="1">
      <c r="A558" s="294"/>
      <c r="B558" s="294"/>
      <c r="C558" s="294"/>
      <c r="D558" s="294"/>
      <c r="E558" s="294"/>
      <c r="F558" s="294"/>
      <c r="G558" s="294"/>
      <c r="H558" s="294"/>
      <c r="I558" s="294"/>
      <c r="J558" s="294"/>
      <c r="K558" s="294"/>
      <c r="L558" s="294"/>
      <c r="M558" s="294"/>
      <c r="N558" s="294"/>
      <c r="O558" s="294"/>
      <c r="P558" s="294"/>
    </row>
    <row r="559" spans="1:16" ht="15.75" customHeight="1">
      <c r="A559" s="294"/>
      <c r="B559" s="294"/>
      <c r="C559" s="294"/>
      <c r="D559" s="294"/>
      <c r="E559" s="294"/>
      <c r="F559" s="294"/>
      <c r="G559" s="294"/>
      <c r="H559" s="294"/>
      <c r="I559" s="294"/>
      <c r="J559" s="294"/>
      <c r="K559" s="294"/>
      <c r="L559" s="294"/>
      <c r="M559" s="294"/>
      <c r="N559" s="294"/>
      <c r="O559" s="294"/>
      <c r="P559" s="294"/>
    </row>
    <row r="560" spans="1:16" ht="15.75" customHeight="1">
      <c r="A560" s="294"/>
      <c r="B560" s="294"/>
      <c r="C560" s="294"/>
      <c r="D560" s="294"/>
      <c r="E560" s="294"/>
      <c r="F560" s="294"/>
      <c r="G560" s="294"/>
      <c r="H560" s="294"/>
      <c r="I560" s="294"/>
      <c r="J560" s="294"/>
      <c r="K560" s="294"/>
      <c r="L560" s="294"/>
      <c r="M560" s="294"/>
      <c r="N560" s="294"/>
      <c r="O560" s="294"/>
      <c r="P560" s="294"/>
    </row>
    <row r="561" spans="1:16" ht="15.75" customHeight="1">
      <c r="A561" s="68"/>
      <c r="B561" s="68"/>
      <c r="C561" s="68"/>
      <c r="D561" s="68"/>
      <c r="E561" s="68"/>
      <c r="F561" s="68"/>
      <c r="G561" s="68"/>
      <c r="H561" s="68"/>
      <c r="I561" s="68"/>
      <c r="J561" s="68"/>
      <c r="K561" s="68"/>
      <c r="L561" s="68"/>
      <c r="M561" s="68"/>
      <c r="N561" s="68"/>
      <c r="O561" s="68"/>
      <c r="P561" s="68"/>
    </row>
    <row r="562" spans="1:16" ht="15.75" customHeight="1">
      <c r="A562" s="392" t="s">
        <v>420</v>
      </c>
      <c r="B562" s="294"/>
      <c r="C562" s="294"/>
      <c r="D562" s="294"/>
      <c r="E562" s="294"/>
      <c r="F562" s="294"/>
      <c r="G562" s="294"/>
      <c r="H562" s="294"/>
      <c r="I562" s="294"/>
      <c r="J562" s="294"/>
      <c r="K562" s="294"/>
      <c r="L562" s="294"/>
      <c r="M562" s="294"/>
      <c r="N562" s="294"/>
      <c r="O562" s="294"/>
      <c r="P562" s="294"/>
    </row>
    <row r="563" spans="1:16" ht="15.75" customHeight="1">
      <c r="A563" s="294"/>
      <c r="B563" s="294"/>
      <c r="C563" s="294"/>
      <c r="D563" s="294"/>
      <c r="E563" s="294"/>
      <c r="F563" s="294"/>
      <c r="G563" s="294"/>
      <c r="H563" s="294"/>
      <c r="I563" s="294"/>
      <c r="J563" s="294"/>
      <c r="K563" s="294"/>
      <c r="L563" s="294"/>
      <c r="M563" s="294"/>
      <c r="N563" s="294"/>
      <c r="O563" s="294"/>
      <c r="P563" s="294"/>
    </row>
    <row r="564" spans="1:16" ht="15.75" customHeight="1">
      <c r="A564" s="72"/>
      <c r="B564" s="72"/>
      <c r="C564" s="321">
        <f ca="1">OFFSET(Metabólica!$D$1,,Avaliação!$C$138*2-1)</f>
        <v>0</v>
      </c>
      <c r="D564" s="294"/>
      <c r="E564" s="391" t="e">
        <f ca="1">OFFSET(BD!$A$2,,MATCH(C564,BD!$B$1:$P$1,0))</f>
        <v>#N/A</v>
      </c>
      <c r="F564" s="294"/>
      <c r="G564" s="294"/>
      <c r="H564" s="130" t="e">
        <f ca="1">MATCH($C$564,Metabólica!$E$1:$AH$1,0)</f>
        <v>#N/A</v>
      </c>
      <c r="I564" s="321" t="s">
        <v>190</v>
      </c>
      <c r="J564" s="294"/>
      <c r="K564" s="331" t="e">
        <f ca="1">OFFSET('BD tratado'!$D$136,,MATCH(C$564,BD!$B$1:$P$1,0))</f>
        <v>#N/A</v>
      </c>
      <c r="L564" s="294"/>
      <c r="M564" s="294"/>
      <c r="N564" s="294"/>
      <c r="O564" s="294"/>
      <c r="P564" s="294"/>
    </row>
    <row r="565" spans="1:16" ht="15.75" customHeight="1">
      <c r="E565" s="68"/>
      <c r="F565" s="68"/>
      <c r="G565" s="68"/>
      <c r="H565" s="68"/>
      <c r="I565" s="68"/>
      <c r="J565" s="68"/>
      <c r="K565" s="68"/>
      <c r="L565" s="68"/>
      <c r="M565" s="68"/>
      <c r="N565" s="68"/>
      <c r="O565" s="68"/>
      <c r="P565" s="68"/>
    </row>
    <row r="566" spans="1:16" ht="15.75" customHeight="1">
      <c r="A566" s="393" t="s">
        <v>307</v>
      </c>
      <c r="B566" s="324"/>
      <c r="C566" s="393" t="s">
        <v>421</v>
      </c>
      <c r="D566" s="324"/>
      <c r="E566" s="393" t="s">
        <v>422</v>
      </c>
      <c r="F566" s="324"/>
      <c r="G566" s="393" t="s">
        <v>311</v>
      </c>
      <c r="H566" s="324"/>
      <c r="I566" s="393" t="s">
        <v>312</v>
      </c>
      <c r="J566" s="324"/>
      <c r="K566" s="393" t="s">
        <v>423</v>
      </c>
      <c r="L566" s="324"/>
      <c r="M566" s="393" t="s">
        <v>424</v>
      </c>
      <c r="N566" s="324"/>
      <c r="O566" s="393" t="s">
        <v>425</v>
      </c>
      <c r="P566" s="324"/>
    </row>
    <row r="567" spans="1:16" ht="15.75" customHeight="1">
      <c r="A567" s="321">
        <f>Metabólica!A17</f>
        <v>0</v>
      </c>
      <c r="B567" s="294"/>
      <c r="C567" s="331" t="e">
        <f ca="1">IF($K$564="Teste de Esteira Progressiva",Metabólica!B17,"-")</f>
        <v>#N/A</v>
      </c>
      <c r="D567" s="294"/>
      <c r="E567" s="331" t="e">
        <f ca="1">IF($K$564="Teste de Esteira Progressiva",Metabólica!C17,Metabólica!D17)</f>
        <v>#N/A</v>
      </c>
      <c r="F567" s="294"/>
      <c r="G567" s="331" t="e">
        <f ca="1">OFFSET(Metabólica!$D17,0,$H$564)</f>
        <v>#N/A</v>
      </c>
      <c r="H567" s="294"/>
      <c r="I567" s="331" t="e">
        <f ca="1">OFFSET(Metabólica!$D17,0,$H$564+1)</f>
        <v>#N/A</v>
      </c>
      <c r="J567" s="294"/>
      <c r="K567" s="331" t="e">
        <f ca="1">OFFSET(Metabólica!$D4,0,$H$564)&amp;"/"&amp;OFFSET(Metabólica!$D5,0,$H$564)</f>
        <v>#N/A</v>
      </c>
      <c r="L567" s="294"/>
      <c r="M567" s="394"/>
      <c r="N567" s="294"/>
      <c r="O567" s="394"/>
      <c r="P567" s="294"/>
    </row>
    <row r="568" spans="1:16" ht="15.75" customHeight="1">
      <c r="A568" s="321">
        <f>Metabólica!A18</f>
        <v>1</v>
      </c>
      <c r="B568" s="294"/>
      <c r="C568" s="331" t="e">
        <f ca="1">IF($K$564="Teste de Esteira Progressiva",Metabólica!B18,"-")</f>
        <v>#N/A</v>
      </c>
      <c r="D568" s="294"/>
      <c r="E568" s="331" t="e">
        <f ca="1">IF($K$564="Teste de Esteira Progressiva",Metabólica!C18,Metabólica!D18)</f>
        <v>#N/A</v>
      </c>
      <c r="F568" s="294"/>
      <c r="G568" s="331" t="e">
        <f ca="1">OFFSET(Metabólica!$D18,0,$H$564)</f>
        <v>#N/A</v>
      </c>
      <c r="H568" s="294"/>
      <c r="I568" s="331" t="e">
        <f ca="1">OFFSET(Metabólica!$D18,0,$H$564+1)</f>
        <v>#N/A</v>
      </c>
      <c r="J568" s="294"/>
      <c r="K568" s="331"/>
      <c r="L568" s="294"/>
      <c r="M568" s="394"/>
      <c r="N568" s="294"/>
      <c r="O568" s="394"/>
      <c r="P568" s="294"/>
    </row>
    <row r="569" spans="1:16" ht="15.75" customHeight="1">
      <c r="A569" s="321">
        <f>Metabólica!A19</f>
        <v>2</v>
      </c>
      <c r="B569" s="294"/>
      <c r="C569" s="331" t="e">
        <f ca="1">IF($K$564="Teste de Esteira Progressiva",Metabólica!B19,"-")</f>
        <v>#N/A</v>
      </c>
      <c r="D569" s="294"/>
      <c r="E569" s="331" t="e">
        <f ca="1">IF($K$564="Teste de Esteira Progressiva",Metabólica!C19,Metabólica!D19)</f>
        <v>#N/A</v>
      </c>
      <c r="F569" s="294"/>
      <c r="G569" s="331" t="e">
        <f ca="1">OFFSET(Metabólica!$D19,0,$H$564)</f>
        <v>#N/A</v>
      </c>
      <c r="H569" s="294"/>
      <c r="I569" s="331" t="e">
        <f ca="1">OFFSET(Metabólica!$D19,0,$H$564+1)</f>
        <v>#N/A</v>
      </c>
      <c r="J569" s="294"/>
      <c r="K569" s="331"/>
      <c r="L569" s="294"/>
      <c r="M569" s="394"/>
      <c r="N569" s="294"/>
      <c r="O569" s="394"/>
      <c r="P569" s="294"/>
    </row>
    <row r="570" spans="1:16" ht="15.75" customHeight="1">
      <c r="A570" s="321">
        <f>Metabólica!A20</f>
        <v>3</v>
      </c>
      <c r="B570" s="294"/>
      <c r="C570" s="331" t="e">
        <f ca="1">IF($K$564="Teste de Esteira Progressiva",Metabólica!B20,"-")</f>
        <v>#N/A</v>
      </c>
      <c r="D570" s="294"/>
      <c r="E570" s="331" t="e">
        <f ca="1">IF($K$564="Teste de Esteira Progressiva",Metabólica!C20,Metabólica!D20)</f>
        <v>#N/A</v>
      </c>
      <c r="F570" s="294"/>
      <c r="G570" s="331" t="e">
        <f ca="1">OFFSET(Metabólica!$D20,0,$H$564)</f>
        <v>#N/A</v>
      </c>
      <c r="H570" s="294"/>
      <c r="I570" s="331" t="e">
        <f ca="1">OFFSET(Metabólica!$D20,0,$H$564+1)</f>
        <v>#N/A</v>
      </c>
      <c r="J570" s="294"/>
      <c r="K570" s="331"/>
      <c r="L570" s="294"/>
      <c r="M570" s="394"/>
      <c r="N570" s="294"/>
      <c r="O570" s="394"/>
      <c r="P570" s="294"/>
    </row>
    <row r="571" spans="1:16" ht="15.75" customHeight="1">
      <c r="A571" s="321">
        <f>Metabólica!A21</f>
        <v>4</v>
      </c>
      <c r="B571" s="294"/>
      <c r="C571" s="331" t="e">
        <f ca="1">IF($K$564="Teste de Esteira Progressiva",Metabólica!B21,"-")</f>
        <v>#N/A</v>
      </c>
      <c r="D571" s="294"/>
      <c r="E571" s="331" t="e">
        <f ca="1">IF($K$564="Teste de Esteira Progressiva",Metabólica!C21,Metabólica!D21)</f>
        <v>#N/A</v>
      </c>
      <c r="F571" s="294"/>
      <c r="G571" s="331" t="e">
        <f ca="1">OFFSET(Metabólica!$D21,0,$H$564)</f>
        <v>#N/A</v>
      </c>
      <c r="H571" s="294"/>
      <c r="I571" s="331" t="e">
        <f ca="1">OFFSET(Metabólica!$D21,0,$H$564+1)</f>
        <v>#N/A</v>
      </c>
      <c r="J571" s="294"/>
      <c r="K571" s="331"/>
      <c r="L571" s="294"/>
      <c r="M571" s="394"/>
      <c r="N571" s="294"/>
      <c r="O571" s="394"/>
      <c r="P571" s="294"/>
    </row>
    <row r="572" spans="1:16" ht="15.75" customHeight="1">
      <c r="A572" s="321">
        <f>Metabólica!A22</f>
        <v>5</v>
      </c>
      <c r="B572" s="294"/>
      <c r="C572" s="331" t="e">
        <f ca="1">IF($K$564="Teste de Esteira Progressiva",Metabólica!B22,"-")</f>
        <v>#N/A</v>
      </c>
      <c r="D572" s="294"/>
      <c r="E572" s="331" t="e">
        <f ca="1">IF($K$564="Teste de Esteira Progressiva",Metabólica!C22,Metabólica!D22)</f>
        <v>#N/A</v>
      </c>
      <c r="F572" s="294"/>
      <c r="G572" s="331" t="e">
        <f ca="1">OFFSET(Metabólica!$D22,0,$H$564)</f>
        <v>#N/A</v>
      </c>
      <c r="H572" s="294"/>
      <c r="I572" s="331" t="e">
        <f ca="1">OFFSET(Metabólica!$D22,0,$H$564+1)</f>
        <v>#N/A</v>
      </c>
      <c r="J572" s="294"/>
      <c r="K572" s="331"/>
      <c r="L572" s="294"/>
      <c r="M572" s="394"/>
      <c r="N572" s="294"/>
      <c r="O572" s="394"/>
      <c r="P572" s="294"/>
    </row>
    <row r="573" spans="1:16" ht="15.75" customHeight="1">
      <c r="A573" s="321">
        <f>Metabólica!A23</f>
        <v>6</v>
      </c>
      <c r="B573" s="294"/>
      <c r="C573" s="331" t="e">
        <f ca="1">IF($K$564="Teste de Esteira Progressiva",Metabólica!B23,"-")</f>
        <v>#N/A</v>
      </c>
      <c r="D573" s="294"/>
      <c r="E573" s="331" t="e">
        <f ca="1">IF($K$564="Teste de Esteira Progressiva",Metabólica!C23,Metabólica!D23)</f>
        <v>#N/A</v>
      </c>
      <c r="F573" s="294"/>
      <c r="G573" s="331" t="e">
        <f ca="1">OFFSET(Metabólica!$D23,0,$H$564)</f>
        <v>#N/A</v>
      </c>
      <c r="H573" s="294"/>
      <c r="I573" s="331" t="e">
        <f ca="1">OFFSET(Metabólica!$D23,0,$H$564+1)</f>
        <v>#N/A</v>
      </c>
      <c r="J573" s="294"/>
      <c r="K573" s="331"/>
      <c r="L573" s="294"/>
      <c r="M573" s="394"/>
      <c r="N573" s="294"/>
      <c r="O573" s="394"/>
      <c r="P573" s="294"/>
    </row>
    <row r="574" spans="1:16" ht="15.75" customHeight="1">
      <c r="A574" s="321">
        <f>Metabólica!A24</f>
        <v>7</v>
      </c>
      <c r="B574" s="294"/>
      <c r="C574" s="331" t="e">
        <f ca="1">IF($K$564="Teste de Esteira Progressiva",Metabólica!B24,"-")</f>
        <v>#N/A</v>
      </c>
      <c r="D574" s="294"/>
      <c r="E574" s="331" t="e">
        <f ca="1">IF($K$564="Teste de Esteira Progressiva",Metabólica!C24,Metabólica!D24)</f>
        <v>#N/A</v>
      </c>
      <c r="F574" s="294"/>
      <c r="G574" s="331" t="e">
        <f ca="1">OFFSET(Metabólica!$D24,0,$H$564)</f>
        <v>#N/A</v>
      </c>
      <c r="H574" s="294"/>
      <c r="I574" s="331" t="e">
        <f ca="1">OFFSET(Metabólica!$D24,0,$H$564+1)</f>
        <v>#N/A</v>
      </c>
      <c r="J574" s="294"/>
      <c r="K574" s="331"/>
      <c r="L574" s="294"/>
      <c r="M574" s="394"/>
      <c r="N574" s="294"/>
      <c r="O574" s="394"/>
      <c r="P574" s="294"/>
    </row>
    <row r="575" spans="1:16" ht="15.75" customHeight="1">
      <c r="A575" s="321">
        <f>Metabólica!A25</f>
        <v>8</v>
      </c>
      <c r="B575" s="294"/>
      <c r="C575" s="331" t="e">
        <f ca="1">IF($K$564="Teste de Esteira Progressiva",Metabólica!B25,"-")</f>
        <v>#N/A</v>
      </c>
      <c r="D575" s="294"/>
      <c r="E575" s="331" t="e">
        <f ca="1">IF($K$564="Teste de Esteira Progressiva",Metabólica!C25,Metabólica!D25)</f>
        <v>#N/A</v>
      </c>
      <c r="F575" s="294"/>
      <c r="G575" s="331" t="e">
        <f ca="1">OFFSET(Metabólica!$D25,0,$H$564)</f>
        <v>#N/A</v>
      </c>
      <c r="H575" s="294"/>
      <c r="I575" s="331" t="e">
        <f ca="1">OFFSET(Metabólica!$D25,0,$H$564+1)</f>
        <v>#N/A</v>
      </c>
      <c r="J575" s="294"/>
      <c r="K575" s="331"/>
      <c r="L575" s="294"/>
      <c r="M575" s="394"/>
      <c r="N575" s="294"/>
      <c r="O575" s="394"/>
      <c r="P575" s="294"/>
    </row>
    <row r="576" spans="1:16" ht="15.75" customHeight="1">
      <c r="A576" s="321">
        <f>Metabólica!A26</f>
        <v>9</v>
      </c>
      <c r="B576" s="294"/>
      <c r="C576" s="331" t="e">
        <f ca="1">IF($K$564="Teste de Esteira Progressiva",Metabólica!B26,"-")</f>
        <v>#N/A</v>
      </c>
      <c r="D576" s="294"/>
      <c r="E576" s="331" t="e">
        <f ca="1">IF($K$564="Teste de Esteira Progressiva",Metabólica!C26,Metabólica!D26)</f>
        <v>#N/A</v>
      </c>
      <c r="F576" s="294"/>
      <c r="G576" s="331" t="e">
        <f ca="1">OFFSET(Metabólica!$D26,0,$H$564)</f>
        <v>#N/A</v>
      </c>
      <c r="H576" s="294"/>
      <c r="I576" s="331" t="e">
        <f ca="1">OFFSET(Metabólica!$D26,0,$H$564+1)</f>
        <v>#N/A</v>
      </c>
      <c r="J576" s="294"/>
      <c r="K576" s="331"/>
      <c r="L576" s="294"/>
      <c r="M576" s="394"/>
      <c r="N576" s="294"/>
      <c r="O576" s="394"/>
      <c r="P576" s="294"/>
    </row>
    <row r="577" spans="1:16" ht="15.75" customHeight="1">
      <c r="A577" s="321">
        <f>Metabólica!A27</f>
        <v>10</v>
      </c>
      <c r="B577" s="294"/>
      <c r="C577" s="331" t="e">
        <f ca="1">IF($K$564="Teste de Esteira Progressiva",Metabólica!B27,"-")</f>
        <v>#N/A</v>
      </c>
      <c r="D577" s="294"/>
      <c r="E577" s="331" t="e">
        <f ca="1">IF($K$564="Teste de Esteira Progressiva",Metabólica!C27,Metabólica!D27)</f>
        <v>#N/A</v>
      </c>
      <c r="F577" s="294"/>
      <c r="G577" s="331" t="e">
        <f ca="1">OFFSET(Metabólica!$D27,0,$H$564)</f>
        <v>#N/A</v>
      </c>
      <c r="H577" s="294"/>
      <c r="I577" s="331" t="e">
        <f ca="1">OFFSET(Metabólica!$D27,0,$H$564+1)</f>
        <v>#N/A</v>
      </c>
      <c r="J577" s="294"/>
      <c r="K577" s="331"/>
      <c r="L577" s="294"/>
      <c r="M577" s="394"/>
      <c r="N577" s="294"/>
      <c r="O577" s="394"/>
      <c r="P577" s="294"/>
    </row>
    <row r="578" spans="1:16" ht="15.75" customHeight="1">
      <c r="A578" s="321">
        <f>Metabólica!A28</f>
        <v>11</v>
      </c>
      <c r="B578" s="294"/>
      <c r="C578" s="331" t="e">
        <f ca="1">IF($K$564="Teste de Esteira Progressiva",Metabólica!B28,"-")</f>
        <v>#N/A</v>
      </c>
      <c r="D578" s="294"/>
      <c r="E578" s="331" t="e">
        <f ca="1">IF($K$564="Teste de Esteira Progressiva",Metabólica!C28,Metabólica!D28)</f>
        <v>#N/A</v>
      </c>
      <c r="F578" s="294"/>
      <c r="G578" s="331" t="e">
        <f ca="1">OFFSET(Metabólica!$D28,0,$H$564)</f>
        <v>#N/A</v>
      </c>
      <c r="H578" s="294"/>
      <c r="I578" s="331" t="e">
        <f ca="1">OFFSET(Metabólica!$D28,0,$H$564+1)</f>
        <v>#N/A</v>
      </c>
      <c r="J578" s="294"/>
      <c r="K578" s="331"/>
      <c r="L578" s="294"/>
      <c r="M578" s="394"/>
      <c r="N578" s="294"/>
      <c r="O578" s="394"/>
      <c r="P578" s="294"/>
    </row>
    <row r="579" spans="1:16" ht="15.75" customHeight="1">
      <c r="A579" s="321">
        <f>Metabólica!A29</f>
        <v>12</v>
      </c>
      <c r="B579" s="294"/>
      <c r="C579" s="331" t="e">
        <f ca="1">IF($K$564="Teste de Esteira Progressiva",Metabólica!B29,"-")</f>
        <v>#N/A</v>
      </c>
      <c r="D579" s="294"/>
      <c r="E579" s="331" t="e">
        <f ca="1">IF($K$564="Teste de Esteira Progressiva",Metabólica!C29,Metabólica!D29)</f>
        <v>#N/A</v>
      </c>
      <c r="F579" s="294"/>
      <c r="G579" s="331" t="e">
        <f ca="1">OFFSET(Metabólica!$D29,0,$H$564)</f>
        <v>#N/A</v>
      </c>
      <c r="H579" s="294"/>
      <c r="I579" s="331" t="e">
        <f ca="1">OFFSET(Metabólica!$D29,0,$H$564+1)</f>
        <v>#N/A</v>
      </c>
      <c r="J579" s="294"/>
      <c r="K579" s="331"/>
      <c r="L579" s="294"/>
      <c r="M579" s="394"/>
      <c r="N579" s="294"/>
      <c r="O579" s="394"/>
      <c r="P579" s="294"/>
    </row>
    <row r="580" spans="1:16" ht="15.75" customHeight="1">
      <c r="A580" s="321">
        <f>Metabólica!A30</f>
        <v>13</v>
      </c>
      <c r="B580" s="294"/>
      <c r="C580" s="331" t="e">
        <f ca="1">IF($K$564="Teste de Esteira Progressiva",Metabólica!B30,"-")</f>
        <v>#N/A</v>
      </c>
      <c r="D580" s="294"/>
      <c r="E580" s="331" t="e">
        <f ca="1">IF($K$564="Teste de Esteira Progressiva",Metabólica!C30,Metabólica!D30)</f>
        <v>#N/A</v>
      </c>
      <c r="F580" s="294"/>
      <c r="G580" s="331" t="e">
        <f ca="1">OFFSET(Metabólica!$D30,0,$H$564)</f>
        <v>#N/A</v>
      </c>
      <c r="H580" s="294"/>
      <c r="I580" s="331" t="e">
        <f ca="1">OFFSET(Metabólica!$D30,0,$H$564+1)</f>
        <v>#N/A</v>
      </c>
      <c r="J580" s="294"/>
      <c r="K580" s="331"/>
      <c r="L580" s="294"/>
      <c r="M580" s="394"/>
      <c r="N580" s="294"/>
      <c r="O580" s="394"/>
      <c r="P580" s="294"/>
    </row>
    <row r="581" spans="1:16" ht="15.75" customHeight="1">
      <c r="A581" s="321">
        <f>Metabólica!A31</f>
        <v>14</v>
      </c>
      <c r="B581" s="294"/>
      <c r="C581" s="331" t="e">
        <f ca="1">IF($K$564="Teste de Esteira Progressiva",Metabólica!B31,"-")</f>
        <v>#N/A</v>
      </c>
      <c r="D581" s="294"/>
      <c r="E581" s="331" t="e">
        <f ca="1">IF($K$564="Teste de Esteira Progressiva",Metabólica!C31,Metabólica!D31)</f>
        <v>#N/A</v>
      </c>
      <c r="F581" s="294"/>
      <c r="G581" s="331" t="e">
        <f ca="1">OFFSET(Metabólica!$D31,0,$H$564)</f>
        <v>#N/A</v>
      </c>
      <c r="H581" s="294"/>
      <c r="I581" s="331" t="e">
        <f ca="1">OFFSET(Metabólica!$D31,0,$H$564+1)</f>
        <v>#N/A</v>
      </c>
      <c r="J581" s="294"/>
      <c r="K581" s="331"/>
      <c r="L581" s="294"/>
      <c r="M581" s="394"/>
      <c r="N581" s="294"/>
      <c r="O581" s="394"/>
      <c r="P581" s="294"/>
    </row>
    <row r="582" spans="1:16" ht="15.75" customHeight="1">
      <c r="A582" s="321">
        <f>Metabólica!A32</f>
        <v>15</v>
      </c>
      <c r="B582" s="294"/>
      <c r="C582" s="331" t="e">
        <f ca="1">IF($K$564="Teste de Esteira Progressiva",Metabólica!B32,"-")</f>
        <v>#N/A</v>
      </c>
      <c r="D582" s="294"/>
      <c r="E582" s="331" t="e">
        <f ca="1">IF($K$564="Teste de Esteira Progressiva",Metabólica!C32,Metabólica!D32)</f>
        <v>#N/A</v>
      </c>
      <c r="F582" s="294"/>
      <c r="G582" s="331" t="e">
        <f ca="1">OFFSET(Metabólica!$D32,0,$H$564)</f>
        <v>#N/A</v>
      </c>
      <c r="H582" s="294"/>
      <c r="I582" s="331" t="e">
        <f ca="1">OFFSET(Metabólica!$D32,0,$H$564+1)</f>
        <v>#N/A</v>
      </c>
      <c r="J582" s="294"/>
      <c r="K582" s="331"/>
      <c r="L582" s="294"/>
      <c r="M582" s="394"/>
      <c r="N582" s="294"/>
      <c r="O582" s="394"/>
      <c r="P582" s="294"/>
    </row>
    <row r="583" spans="1:16" ht="15.75" customHeight="1">
      <c r="A583" s="321">
        <f>Metabólica!A33</f>
        <v>16</v>
      </c>
      <c r="B583" s="294"/>
      <c r="C583" s="331" t="e">
        <f ca="1">IF($K$564="Teste de Esteira Progressiva",Metabólica!B33,"-")</f>
        <v>#N/A</v>
      </c>
      <c r="D583" s="294"/>
      <c r="E583" s="331" t="e">
        <f ca="1">IF($K$564="Teste de Esteira Progressiva",Metabólica!C33,Metabólica!D33)</f>
        <v>#N/A</v>
      </c>
      <c r="F583" s="294"/>
      <c r="G583" s="331" t="e">
        <f ca="1">OFFSET(Metabólica!$D33,0,$H$564)</f>
        <v>#N/A</v>
      </c>
      <c r="H583" s="294"/>
      <c r="I583" s="331" t="e">
        <f ca="1">OFFSET(Metabólica!$D33,0,$H$564+1)</f>
        <v>#N/A</v>
      </c>
      <c r="J583" s="294"/>
      <c r="K583" s="331"/>
      <c r="L583" s="294"/>
      <c r="M583" s="394"/>
      <c r="N583" s="294"/>
      <c r="O583" s="394"/>
      <c r="P583" s="294"/>
    </row>
    <row r="584" spans="1:16" ht="15.75" customHeight="1">
      <c r="A584" s="398">
        <f>Metabólica!A34</f>
        <v>17</v>
      </c>
      <c r="B584" s="317"/>
      <c r="C584" s="332" t="e">
        <f ca="1">IF($K$564="Teste de Esteira Progressiva",Metabólica!B34,"-")</f>
        <v>#N/A</v>
      </c>
      <c r="D584" s="317"/>
      <c r="E584" s="332" t="e">
        <f ca="1">IF($K$564="Teste de Esteira Progressiva",Metabólica!C34,Metabólica!D34)</f>
        <v>#N/A</v>
      </c>
      <c r="F584" s="317"/>
      <c r="G584" s="332" t="e">
        <f ca="1">OFFSET(Metabólica!$D34,0,$H$564)</f>
        <v>#N/A</v>
      </c>
      <c r="H584" s="317"/>
      <c r="I584" s="332" t="e">
        <f ca="1">OFFSET(Metabólica!$D34,0,$H$564+1)</f>
        <v>#N/A</v>
      </c>
      <c r="J584" s="317"/>
      <c r="K584" s="332"/>
      <c r="L584" s="317"/>
      <c r="M584" s="397"/>
      <c r="N584" s="317"/>
      <c r="O584" s="397"/>
      <c r="P584" s="317"/>
    </row>
    <row r="585" spans="1:16" ht="15.75" customHeight="1">
      <c r="A585" s="321" t="str">
        <f>Metabólica!A35</f>
        <v>R1</v>
      </c>
      <c r="B585" s="294"/>
      <c r="C585" s="331" t="e">
        <f ca="1">IF($K$564="Teste de Esteira Progressiva",Metabólica!B35,"-")</f>
        <v>#N/A</v>
      </c>
      <c r="D585" s="294"/>
      <c r="E585" s="331" t="e">
        <f ca="1">IF($K$564="Teste de Esteira Progressiva",Metabólica!C35,Metabólica!D35)</f>
        <v>#N/A</v>
      </c>
      <c r="F585" s="294"/>
      <c r="G585" s="331" t="e">
        <f ca="1">OFFSET(Metabólica!$D35,0,$H$564)</f>
        <v>#N/A</v>
      </c>
      <c r="H585" s="294"/>
      <c r="I585" s="331" t="e">
        <f ca="1">OFFSET(Metabólica!$D35,0,$H$564+1)</f>
        <v>#N/A</v>
      </c>
      <c r="J585" s="294"/>
      <c r="K585" s="331"/>
      <c r="L585" s="294"/>
      <c r="M585" s="394"/>
      <c r="N585" s="294"/>
      <c r="O585" s="394"/>
      <c r="P585" s="294"/>
    </row>
    <row r="586" spans="1:16" ht="15.75" customHeight="1">
      <c r="A586" s="321" t="str">
        <f>Metabólica!A36</f>
        <v>R1</v>
      </c>
      <c r="B586" s="294"/>
      <c r="C586" s="331" t="e">
        <f ca="1">IF($K$564="Teste de Esteira Progressiva",Metabólica!B36,"-")</f>
        <v>#N/A</v>
      </c>
      <c r="D586" s="294"/>
      <c r="E586" s="331" t="e">
        <f ca="1">IF($K$564="Teste de Esteira Progressiva",Metabólica!C36,Metabólica!D36)</f>
        <v>#N/A</v>
      </c>
      <c r="F586" s="294"/>
      <c r="G586" s="331" t="e">
        <f ca="1">OFFSET(Metabólica!$D36,0,$H$564)</f>
        <v>#N/A</v>
      </c>
      <c r="H586" s="294"/>
      <c r="I586" s="331" t="e">
        <f ca="1">OFFSET(Metabólica!$D36,0,$H$564+1)</f>
        <v>#N/A</v>
      </c>
      <c r="J586" s="294"/>
      <c r="K586" s="331"/>
      <c r="L586" s="294"/>
      <c r="M586" s="394"/>
      <c r="N586" s="294"/>
      <c r="O586" s="394"/>
      <c r="P586" s="294"/>
    </row>
    <row r="587" spans="1:16" ht="15.75" customHeight="1">
      <c r="A587" s="398" t="str">
        <f>Metabólica!A37</f>
        <v>R2</v>
      </c>
      <c r="B587" s="317"/>
      <c r="C587" s="332" t="e">
        <f ca="1">IF($K$564="Teste de Esteira Progressiva",Metabólica!B37,"-")</f>
        <v>#N/A</v>
      </c>
      <c r="D587" s="317"/>
      <c r="E587" s="332" t="e">
        <f ca="1">IF($K$564="Teste de Esteira Progressiva",Metabólica!C37,Metabólica!D37)</f>
        <v>#N/A</v>
      </c>
      <c r="F587" s="317"/>
      <c r="G587" s="332" t="e">
        <f ca="1">OFFSET(Metabólica!$D37,0,$H$564)</f>
        <v>#N/A</v>
      </c>
      <c r="H587" s="317"/>
      <c r="I587" s="332" t="e">
        <f ca="1">OFFSET(Metabólica!$D37,0,$H$564+1)</f>
        <v>#N/A</v>
      </c>
      <c r="J587" s="317"/>
      <c r="K587" s="332" t="e">
        <f ca="1">OFFSET(Metabólica!$D4,0,$H$564+1)&amp;"/"&amp;OFFSET(Metabólica!$D5,0,$H$564+1)</f>
        <v>#N/A</v>
      </c>
      <c r="L587" s="317"/>
      <c r="M587" s="397"/>
      <c r="N587" s="317"/>
      <c r="O587" s="397"/>
      <c r="P587" s="317"/>
    </row>
    <row r="588" spans="1:16" ht="15.75" customHeight="1">
      <c r="A588" s="336" t="s">
        <v>315</v>
      </c>
      <c r="B588" s="294"/>
      <c r="C588" s="294"/>
      <c r="D588" s="294"/>
      <c r="E588" s="294"/>
      <c r="F588" s="294"/>
      <c r="G588" s="295" t="e">
        <f ca="1">OFFSET(Metabólica!$D38,0,$H$564)</f>
        <v>#N/A</v>
      </c>
      <c r="H588" s="294"/>
      <c r="I588" s="294"/>
      <c r="J588" s="294"/>
      <c r="K588" s="294"/>
      <c r="L588" s="294"/>
      <c r="M588" s="294"/>
      <c r="N588" s="294"/>
      <c r="O588" s="294"/>
      <c r="P588" s="294"/>
    </row>
    <row r="589" spans="1:16" ht="15.75" customHeight="1">
      <c r="A589" s="294"/>
      <c r="B589" s="294"/>
      <c r="C589" s="294"/>
      <c r="D589" s="294"/>
      <c r="E589" s="294"/>
      <c r="F589" s="294"/>
      <c r="G589" s="295" t="e">
        <f ca="1">OFFSET(Metabólica!$D39,0,$H$564)</f>
        <v>#N/A</v>
      </c>
      <c r="H589" s="294"/>
      <c r="I589" s="294"/>
      <c r="J589" s="294"/>
      <c r="K589" s="294"/>
      <c r="L589" s="294"/>
      <c r="M589" s="294"/>
      <c r="N589" s="294"/>
      <c r="O589" s="294"/>
      <c r="P589" s="294"/>
    </row>
    <row r="590" spans="1:16" ht="15.75" customHeight="1">
      <c r="A590" s="317"/>
      <c r="B590" s="317"/>
      <c r="C590" s="317"/>
      <c r="D590" s="317"/>
      <c r="E590" s="317"/>
      <c r="F590" s="317"/>
      <c r="G590" s="399" t="e">
        <f ca="1">OFFSET(Metabólica!$D40,0,$H$564)</f>
        <v>#N/A</v>
      </c>
      <c r="H590" s="317"/>
      <c r="I590" s="317"/>
      <c r="J590" s="317"/>
      <c r="K590" s="317"/>
      <c r="L590" s="317"/>
      <c r="M590" s="317"/>
      <c r="N590" s="317"/>
      <c r="O590" s="317"/>
      <c r="P590" s="317"/>
    </row>
    <row r="591" spans="1:16" ht="15.75" customHeight="1">
      <c r="A591" s="68"/>
      <c r="B591" s="68"/>
      <c r="C591" s="68"/>
      <c r="D591" s="68"/>
      <c r="E591" s="68"/>
      <c r="F591" s="68"/>
    </row>
    <row r="592" spans="1:16" ht="15.75" customHeight="1">
      <c r="A592" s="331"/>
      <c r="B592" s="294"/>
      <c r="C592" s="321" t="s">
        <v>42</v>
      </c>
      <c r="D592" s="294"/>
      <c r="E592" s="391">
        <f ca="1">OFFSET(BD!$A$2,,MATCH(C592,BD!$B$1:$P$1,0))</f>
        <v>45078</v>
      </c>
      <c r="F592" s="294"/>
      <c r="G592" s="294"/>
      <c r="H592" s="68"/>
      <c r="I592" s="68"/>
      <c r="J592" s="321">
        <f ca="1">$C$564</f>
        <v>0</v>
      </c>
      <c r="K592" s="294"/>
      <c r="L592" s="391" t="e">
        <f ca="1">IF(J592="","",OFFSET(BD!$A$2,,MATCH(J592,BD!$B$1:$P$1,0)))</f>
        <v>#N/A</v>
      </c>
      <c r="M592" s="294"/>
      <c r="N592" s="294"/>
      <c r="O592" s="68" t="s">
        <v>426</v>
      </c>
      <c r="P592" s="68"/>
    </row>
    <row r="593" spans="1:16" ht="15.75" customHeight="1">
      <c r="A593" s="331"/>
      <c r="B593" s="294"/>
      <c r="C593" s="294"/>
      <c r="D593" s="294"/>
      <c r="E593" s="294"/>
      <c r="F593" s="294"/>
      <c r="G593" s="294"/>
      <c r="H593" s="294"/>
      <c r="I593" s="294"/>
      <c r="J593" s="294"/>
      <c r="K593" s="294"/>
      <c r="L593" s="294"/>
      <c r="M593" s="294"/>
      <c r="N593" s="294"/>
      <c r="O593" s="294"/>
      <c r="P593" s="294"/>
    </row>
    <row r="594" spans="1:16" ht="15.75" customHeight="1">
      <c r="A594" s="294"/>
      <c r="B594" s="294"/>
      <c r="C594" s="294"/>
      <c r="D594" s="294"/>
      <c r="E594" s="294"/>
      <c r="F594" s="294"/>
      <c r="G594" s="294"/>
      <c r="H594" s="294"/>
      <c r="I594" s="294"/>
      <c r="J594" s="294"/>
      <c r="K594" s="294"/>
      <c r="L594" s="294"/>
      <c r="M594" s="294"/>
      <c r="N594" s="294"/>
      <c r="O594" s="294"/>
      <c r="P594" s="294"/>
    </row>
    <row r="595" spans="1:16" ht="15.75" customHeight="1">
      <c r="A595" s="294"/>
      <c r="B595" s="294"/>
      <c r="C595" s="294"/>
      <c r="D595" s="294"/>
      <c r="E595" s="294"/>
      <c r="F595" s="294"/>
      <c r="G595" s="294"/>
      <c r="H595" s="294"/>
      <c r="I595" s="294"/>
      <c r="J595" s="294"/>
      <c r="K595" s="294"/>
      <c r="L595" s="294"/>
      <c r="M595" s="294"/>
      <c r="N595" s="294"/>
      <c r="O595" s="294"/>
      <c r="P595" s="294"/>
    </row>
    <row r="596" spans="1:16" ht="15.75" customHeight="1">
      <c r="A596" s="294"/>
      <c r="B596" s="294"/>
      <c r="C596" s="294"/>
      <c r="D596" s="294"/>
      <c r="E596" s="294"/>
      <c r="F596" s="294"/>
      <c r="G596" s="294"/>
      <c r="H596" s="294"/>
      <c r="I596" s="294"/>
      <c r="J596" s="294"/>
      <c r="K596" s="294"/>
      <c r="L596" s="294"/>
      <c r="M596" s="294"/>
      <c r="N596" s="294"/>
      <c r="O596" s="294"/>
      <c r="P596" s="294"/>
    </row>
    <row r="597" spans="1:16" ht="15.75" customHeight="1">
      <c r="A597" s="294"/>
      <c r="B597" s="294"/>
      <c r="C597" s="294"/>
      <c r="D597" s="294"/>
      <c r="E597" s="294"/>
      <c r="F597" s="294"/>
      <c r="G597" s="294"/>
      <c r="H597" s="294"/>
      <c r="I597" s="294"/>
      <c r="J597" s="294"/>
      <c r="K597" s="294"/>
      <c r="L597" s="294"/>
      <c r="M597" s="294"/>
      <c r="N597" s="294"/>
      <c r="O597" s="294"/>
      <c r="P597" s="294"/>
    </row>
    <row r="598" spans="1:16" ht="15.75" customHeight="1">
      <c r="A598" s="294"/>
      <c r="B598" s="294"/>
      <c r="C598" s="294"/>
      <c r="D598" s="294"/>
      <c r="E598" s="294"/>
      <c r="F598" s="294"/>
      <c r="G598" s="294"/>
      <c r="H598" s="294"/>
      <c r="I598" s="294"/>
      <c r="J598" s="294"/>
      <c r="K598" s="294"/>
      <c r="L598" s="294"/>
      <c r="M598" s="294"/>
      <c r="N598" s="294"/>
      <c r="O598" s="294"/>
      <c r="P598" s="294"/>
    </row>
    <row r="599" spans="1:16" ht="15.75" customHeight="1">
      <c r="A599" s="294"/>
      <c r="B599" s="294"/>
      <c r="C599" s="294"/>
      <c r="D599" s="294"/>
      <c r="E599" s="294"/>
      <c r="F599" s="294"/>
      <c r="G599" s="294"/>
      <c r="H599" s="294"/>
      <c r="I599" s="294"/>
      <c r="J599" s="294"/>
      <c r="K599" s="294"/>
      <c r="L599" s="294"/>
      <c r="M599" s="294"/>
      <c r="N599" s="294"/>
      <c r="O599" s="294"/>
      <c r="P599" s="294"/>
    </row>
    <row r="600" spans="1:16" ht="15.75" customHeight="1">
      <c r="A600" s="294"/>
      <c r="B600" s="294"/>
      <c r="C600" s="294"/>
      <c r="D600" s="294"/>
      <c r="E600" s="294"/>
      <c r="F600" s="294"/>
      <c r="G600" s="294"/>
      <c r="H600" s="294"/>
      <c r="I600" s="294"/>
      <c r="J600" s="294"/>
      <c r="K600" s="294"/>
      <c r="L600" s="294"/>
      <c r="M600" s="294"/>
      <c r="N600" s="294"/>
      <c r="O600" s="294"/>
      <c r="P600" s="294"/>
    </row>
    <row r="601" spans="1:16" ht="15.75" customHeight="1">
      <c r="A601" s="294"/>
      <c r="B601" s="294"/>
      <c r="C601" s="294"/>
      <c r="D601" s="294"/>
      <c r="E601" s="294"/>
      <c r="F601" s="294"/>
      <c r="G601" s="294"/>
      <c r="H601" s="294"/>
      <c r="I601" s="294"/>
      <c r="J601" s="294"/>
      <c r="K601" s="294"/>
      <c r="L601" s="294"/>
      <c r="M601" s="294"/>
      <c r="N601" s="294"/>
      <c r="O601" s="294"/>
      <c r="P601" s="294"/>
    </row>
    <row r="602" spans="1:16" ht="15.75" customHeight="1">
      <c r="A602" s="294"/>
      <c r="B602" s="294"/>
      <c r="C602" s="294"/>
      <c r="D602" s="294"/>
      <c r="E602" s="294"/>
      <c r="F602" s="294"/>
      <c r="G602" s="294"/>
      <c r="H602" s="294"/>
      <c r="I602" s="294"/>
      <c r="J602" s="294"/>
      <c r="K602" s="294"/>
      <c r="L602" s="294"/>
      <c r="M602" s="294"/>
      <c r="N602" s="294"/>
      <c r="O602" s="294"/>
      <c r="P602" s="294"/>
    </row>
    <row r="603" spans="1:16" ht="15.75" customHeight="1">
      <c r="A603" s="294"/>
      <c r="B603" s="294"/>
      <c r="C603" s="294"/>
      <c r="D603" s="294"/>
      <c r="E603" s="294"/>
      <c r="F603" s="294"/>
      <c r="G603" s="294"/>
      <c r="H603" s="294"/>
      <c r="I603" s="294"/>
      <c r="J603" s="294"/>
      <c r="K603" s="294"/>
      <c r="L603" s="294"/>
      <c r="M603" s="294"/>
      <c r="N603" s="294"/>
      <c r="O603" s="294"/>
      <c r="P603" s="294"/>
    </row>
    <row r="604" spans="1:16" ht="15.75" customHeight="1">
      <c r="A604" s="294"/>
      <c r="B604" s="294"/>
      <c r="C604" s="294"/>
      <c r="D604" s="294"/>
      <c r="E604" s="294"/>
      <c r="F604" s="294"/>
      <c r="G604" s="294"/>
      <c r="H604" s="294"/>
      <c r="I604" s="294"/>
      <c r="J604" s="294"/>
      <c r="K604" s="294"/>
      <c r="L604" s="294"/>
      <c r="M604" s="294"/>
      <c r="N604" s="294"/>
      <c r="O604" s="294"/>
      <c r="P604" s="294"/>
    </row>
    <row r="605" spans="1:16" ht="15.75" customHeight="1">
      <c r="A605" s="392" t="s">
        <v>427</v>
      </c>
      <c r="B605" s="294"/>
      <c r="C605" s="294"/>
      <c r="D605" s="294"/>
      <c r="E605" s="294"/>
      <c r="F605" s="294"/>
      <c r="G605" s="294"/>
      <c r="H605" s="294"/>
      <c r="I605" s="294"/>
      <c r="J605" s="294"/>
      <c r="K605" s="294"/>
      <c r="L605" s="294"/>
      <c r="M605" s="294"/>
      <c r="N605" s="294"/>
      <c r="O605" s="294"/>
      <c r="P605" s="294"/>
    </row>
    <row r="606" spans="1:16" ht="15.75" customHeight="1">
      <c r="A606" s="294"/>
      <c r="B606" s="294"/>
      <c r="C606" s="294"/>
      <c r="D606" s="294"/>
      <c r="E606" s="294"/>
      <c r="F606" s="294"/>
      <c r="G606" s="294"/>
      <c r="H606" s="294"/>
      <c r="I606" s="294"/>
      <c r="J606" s="294"/>
      <c r="K606" s="294"/>
      <c r="L606" s="294"/>
      <c r="M606" s="294"/>
      <c r="N606" s="294"/>
      <c r="O606" s="294"/>
      <c r="P606" s="294"/>
    </row>
    <row r="607" spans="1:16" ht="15.75" customHeight="1">
      <c r="F607" s="321" t="str">
        <f>Metabólica!C97</f>
        <v>Av10</v>
      </c>
      <c r="G607" s="294"/>
      <c r="H607" s="391">
        <f ca="1">OFFSET(BD!$A$2,,MATCH(F607,BD!$B$1:$P$1,0))</f>
        <v>45938</v>
      </c>
      <c r="I607" s="294"/>
      <c r="J607" s="294"/>
      <c r="K607" s="68" t="s">
        <v>426</v>
      </c>
    </row>
    <row r="609" spans="1:16" ht="15.75" customHeight="1">
      <c r="F609" s="131">
        <f>IF(G609="Av0","",MATCH(G609,Metabólica!$E$1:$AH$1,0))</f>
        <v>13</v>
      </c>
      <c r="G609" s="131" t="str">
        <f>Metabólica!C98</f>
        <v>Av10</v>
      </c>
      <c r="H609" s="131" t="str">
        <f ca="1">IF(G609="Av0","",OFFSET('BD tratado'!$D$136,,MATCH(G609,BD!$B$1:$P$1,0)))</f>
        <v>Teste de Esteira Progressiva</v>
      </c>
      <c r="I609" s="131"/>
      <c r="J609" s="131" t="str">
        <f>IF(K609="Av0","",MATCH(K609,Metabólica!$E$1:$AH$1,0))</f>
        <v/>
      </c>
      <c r="K609" s="131" t="str">
        <f>Metabólica!C99</f>
        <v>Av0</v>
      </c>
      <c r="L609" s="131" t="str">
        <f ca="1">IF(K609="Av0","",OFFSET('BD tratado'!$D$136,,MATCH(K609,BD!$B$1:$P$1,0)))</f>
        <v/>
      </c>
    </row>
    <row r="610" spans="1:16" ht="15.75" customHeight="1">
      <c r="A610" s="390" t="s">
        <v>428</v>
      </c>
      <c r="B610" s="294"/>
      <c r="C610" s="390" t="s">
        <v>429</v>
      </c>
      <c r="D610" s="294"/>
      <c r="E610" s="390" t="s">
        <v>430</v>
      </c>
      <c r="F610" s="294"/>
      <c r="G610" s="389" t="str">
        <f>"Velocidade (km/h)"&amp;IF(OR(G609=F607,G609="Av0"),""," - "&amp;G609)</f>
        <v>Velocidade (km/h)</v>
      </c>
      <c r="H610" s="294"/>
      <c r="I610" s="390" t="s">
        <v>431</v>
      </c>
      <c r="J610" s="294"/>
      <c r="K610" s="389" t="str">
        <f>"Velocidade (watt)"&amp;IF(OR(K609=F607,K609="Av0"),""," - "&amp;K609)</f>
        <v>Velocidade (watt)</v>
      </c>
      <c r="L610" s="294"/>
      <c r="M610" s="390" t="s">
        <v>432</v>
      </c>
      <c r="N610" s="294"/>
      <c r="O610" s="390" t="s">
        <v>433</v>
      </c>
      <c r="P610" s="294"/>
    </row>
    <row r="611" spans="1:16" ht="15.75" customHeight="1">
      <c r="A611" s="294"/>
      <c r="B611" s="294"/>
      <c r="C611" s="294"/>
      <c r="D611" s="294"/>
      <c r="E611" s="294"/>
      <c r="F611" s="294"/>
      <c r="G611" s="294"/>
      <c r="H611" s="294"/>
      <c r="I611" s="294"/>
      <c r="J611" s="294"/>
      <c r="K611" s="294"/>
      <c r="L611" s="294"/>
      <c r="M611" s="294"/>
      <c r="N611" s="294"/>
      <c r="O611" s="294"/>
      <c r="P611" s="294"/>
    </row>
    <row r="612" spans="1:16" ht="15.75" customHeight="1">
      <c r="A612" s="420">
        <v>0.5</v>
      </c>
      <c r="B612" s="294"/>
      <c r="C612" s="421" t="e">
        <f ca="1">OFFSET(Metabólica!$D58,,$H$564)</f>
        <v>#N/A</v>
      </c>
      <c r="D612" s="294"/>
      <c r="E612" s="421" t="e">
        <f t="shared" ref="E612:E622" ca="1" si="21">C612/4</f>
        <v>#N/A</v>
      </c>
      <c r="F612" s="294"/>
      <c r="G612" s="422">
        <f ca="1">IF($G$609="Av0","-",OFFSET(Metabólica!$D83,,$F$609+1))</f>
        <v>10</v>
      </c>
      <c r="H612" s="294"/>
      <c r="I612" s="422">
        <f t="shared" ref="I612:I624" ca="1" si="22">IF(G612="-","-",60/G612)</f>
        <v>6</v>
      </c>
      <c r="J612" s="294"/>
      <c r="K612" s="384" t="str">
        <f ca="1">IF($K$609="Av0","-",OFFSET(Metabólica!$D83,,$J$609+1))</f>
        <v>-</v>
      </c>
      <c r="L612" s="294"/>
      <c r="M612" s="395">
        <v>45323</v>
      </c>
      <c r="N612" s="294"/>
      <c r="O612" s="396" t="s">
        <v>434</v>
      </c>
      <c r="P612" s="294"/>
    </row>
    <row r="613" spans="1:16" ht="15.75" customHeight="1">
      <c r="A613" s="420">
        <v>0.55000000000000004</v>
      </c>
      <c r="B613" s="294"/>
      <c r="C613" s="421" t="e">
        <f ca="1">OFFSET(Metabólica!$D59,,$H$564)</f>
        <v>#N/A</v>
      </c>
      <c r="D613" s="294"/>
      <c r="E613" s="421" t="e">
        <f t="shared" ca="1" si="21"/>
        <v>#N/A</v>
      </c>
      <c r="F613" s="294"/>
      <c r="G613" s="422">
        <f ca="1">IF($G$609="Av0","-",OFFSET(Metabólica!$D84,,$F$609+1))</f>
        <v>10.5</v>
      </c>
      <c r="H613" s="294"/>
      <c r="I613" s="422">
        <f t="shared" ca="1" si="22"/>
        <v>5.7142857142857144</v>
      </c>
      <c r="J613" s="294"/>
      <c r="K613" s="384" t="str">
        <f ca="1">IF($K$609="Av0","-",OFFSET(Metabólica!$D84,,$J$609+1))</f>
        <v>-</v>
      </c>
      <c r="L613" s="294"/>
      <c r="M613" s="384">
        <v>2</v>
      </c>
      <c r="N613" s="294"/>
      <c r="O613" s="396" t="s">
        <v>434</v>
      </c>
      <c r="P613" s="294"/>
    </row>
    <row r="614" spans="1:16" ht="15.75" customHeight="1">
      <c r="A614" s="420">
        <v>0.6</v>
      </c>
      <c r="B614" s="294"/>
      <c r="C614" s="421" t="e">
        <f ca="1">OFFSET(Metabólica!$D60,,$H$564)</f>
        <v>#N/A</v>
      </c>
      <c r="D614" s="294"/>
      <c r="E614" s="421" t="e">
        <f t="shared" ca="1" si="21"/>
        <v>#N/A</v>
      </c>
      <c r="F614" s="294"/>
      <c r="G614" s="422">
        <f ca="1">IF($G$609="Av0","-",OFFSET(Metabólica!$D85,,$F$609+1))</f>
        <v>10.9</v>
      </c>
      <c r="H614" s="294"/>
      <c r="I614" s="422">
        <f t="shared" ca="1" si="22"/>
        <v>5.5045871559633026</v>
      </c>
      <c r="J614" s="294"/>
      <c r="K614" s="384" t="str">
        <f ca="1">IF($K$609="Av0","-",OFFSET(Metabólica!$D85,,$J$609+1))</f>
        <v>-</v>
      </c>
      <c r="L614" s="294"/>
      <c r="M614" s="395">
        <v>45353</v>
      </c>
      <c r="N614" s="294"/>
      <c r="O614" s="396" t="s">
        <v>434</v>
      </c>
      <c r="P614" s="294"/>
    </row>
    <row r="615" spans="1:16" ht="15.75" customHeight="1">
      <c r="A615" s="402">
        <v>0.65</v>
      </c>
      <c r="B615" s="294"/>
      <c r="C615" s="406" t="e">
        <f ca="1">OFFSET(Metabólica!$D61,,$H$564)</f>
        <v>#N/A</v>
      </c>
      <c r="D615" s="294"/>
      <c r="E615" s="406" t="e">
        <f t="shared" ca="1" si="21"/>
        <v>#N/A</v>
      </c>
      <c r="F615" s="294"/>
      <c r="G615" s="407">
        <f ca="1">IF($G$609="Av0","-",OFFSET(Metabólica!$D86,,$F$609+1))</f>
        <v>11.8</v>
      </c>
      <c r="H615" s="294"/>
      <c r="I615" s="407">
        <f t="shared" ca="1" si="22"/>
        <v>5.0847457627118642</v>
      </c>
      <c r="J615" s="294"/>
      <c r="K615" s="408" t="str">
        <f ca="1">IF($K$609="Av0","-",OFFSET(Metabólica!$D86,,$J$609+1))</f>
        <v>-</v>
      </c>
      <c r="L615" s="294"/>
      <c r="M615" s="408">
        <v>3</v>
      </c>
      <c r="N615" s="294"/>
      <c r="O615" s="409" t="s">
        <v>435</v>
      </c>
      <c r="P615" s="294"/>
    </row>
    <row r="616" spans="1:16" ht="15.75" customHeight="1">
      <c r="A616" s="402">
        <v>0.7</v>
      </c>
      <c r="B616" s="294"/>
      <c r="C616" s="406" t="e">
        <f ca="1">OFFSET(Metabólica!$D62,,$H$564)</f>
        <v>#N/A</v>
      </c>
      <c r="D616" s="294"/>
      <c r="E616" s="406" t="e">
        <f t="shared" ca="1" si="21"/>
        <v>#N/A</v>
      </c>
      <c r="F616" s="294"/>
      <c r="G616" s="407">
        <f ca="1">IF($G$609="Av0","-",OFFSET(Metabólica!$D87,,$F$609+1))</f>
        <v>12.7</v>
      </c>
      <c r="H616" s="294"/>
      <c r="I616" s="407">
        <f t="shared" ca="1" si="22"/>
        <v>4.7244094488188981</v>
      </c>
      <c r="J616" s="294"/>
      <c r="K616" s="408" t="str">
        <f ca="1">IF($K$609="Av0","-",OFFSET(Metabólica!$D87,,$J$609+1))</f>
        <v>-</v>
      </c>
      <c r="L616" s="294"/>
      <c r="M616" s="423">
        <v>45385</v>
      </c>
      <c r="N616" s="294"/>
      <c r="O616" s="409" t="s">
        <v>435</v>
      </c>
      <c r="P616" s="294"/>
    </row>
    <row r="617" spans="1:16" ht="15.75" customHeight="1">
      <c r="A617" s="402">
        <v>0.75</v>
      </c>
      <c r="B617" s="294"/>
      <c r="C617" s="406" t="e">
        <f ca="1">OFFSET(Metabólica!$D63,,$H$564)</f>
        <v>#N/A</v>
      </c>
      <c r="D617" s="294"/>
      <c r="E617" s="406" t="e">
        <f t="shared" ca="1" si="21"/>
        <v>#N/A</v>
      </c>
      <c r="F617" s="294"/>
      <c r="G617" s="407">
        <f ca="1">IF($G$609="Av0","-",OFFSET(Metabólica!$D88,,$F$609+1))</f>
        <v>13.6</v>
      </c>
      <c r="H617" s="294"/>
      <c r="I617" s="407">
        <f t="shared" ca="1" si="22"/>
        <v>4.4117647058823533</v>
      </c>
      <c r="J617" s="294"/>
      <c r="K617" s="408" t="str">
        <f ca="1">IF($K$609="Av0","-",OFFSET(Metabólica!$D88,,$J$609+1))</f>
        <v>-</v>
      </c>
      <c r="L617" s="294"/>
      <c r="M617" s="408">
        <v>4</v>
      </c>
      <c r="N617" s="294"/>
      <c r="O617" s="409" t="s">
        <v>435</v>
      </c>
      <c r="P617" s="294"/>
    </row>
    <row r="618" spans="1:16" ht="15.75" customHeight="1">
      <c r="A618" s="403">
        <v>0.8</v>
      </c>
      <c r="B618" s="294"/>
      <c r="C618" s="404" t="e">
        <f ca="1">OFFSET(Metabólica!$D64,,$H$564)</f>
        <v>#N/A</v>
      </c>
      <c r="D618" s="294"/>
      <c r="E618" s="404" t="e">
        <f t="shared" ca="1" si="21"/>
        <v>#N/A</v>
      </c>
      <c r="F618" s="294"/>
      <c r="G618" s="405">
        <f ca="1">IF($G$609="Av0","-",OFFSET(Metabólica!$D89,,$F$609+1))</f>
        <v>14.5</v>
      </c>
      <c r="H618" s="294"/>
      <c r="I618" s="405">
        <f t="shared" ca="1" si="22"/>
        <v>4.1379310344827589</v>
      </c>
      <c r="J618" s="294"/>
      <c r="K618" s="400" t="str">
        <f ca="1">IF($K$609="Av0","-",OFFSET(Metabólica!$D89,,$J$609+1))</f>
        <v>-</v>
      </c>
      <c r="L618" s="294"/>
      <c r="M618" s="400">
        <v>5</v>
      </c>
      <c r="N618" s="294"/>
      <c r="O618" s="401" t="s">
        <v>436</v>
      </c>
      <c r="P618" s="294"/>
    </row>
    <row r="619" spans="1:16" ht="15.75" customHeight="1">
      <c r="A619" s="403">
        <v>0.85</v>
      </c>
      <c r="B619" s="294"/>
      <c r="C619" s="404" t="e">
        <f ca="1">OFFSET(Metabólica!$D65,,$H$564)</f>
        <v>#N/A</v>
      </c>
      <c r="D619" s="294"/>
      <c r="E619" s="404" t="e">
        <f t="shared" ca="1" si="21"/>
        <v>#N/A</v>
      </c>
      <c r="F619" s="294"/>
      <c r="G619" s="405">
        <f ca="1">IF($G$609="Av0","-",OFFSET(Metabólica!$D90,,$F$609+1))</f>
        <v>15.4</v>
      </c>
      <c r="H619" s="294"/>
      <c r="I619" s="405">
        <f t="shared" ca="1" si="22"/>
        <v>3.8961038961038961</v>
      </c>
      <c r="J619" s="294"/>
      <c r="K619" s="400" t="str">
        <f ca="1">IF($K$609="Av0","-",OFFSET(Metabólica!$D90,,$J$609+1))</f>
        <v>-</v>
      </c>
      <c r="L619" s="294"/>
      <c r="M619" s="400">
        <v>6</v>
      </c>
      <c r="N619" s="294"/>
      <c r="O619" s="401" t="s">
        <v>436</v>
      </c>
      <c r="P619" s="294"/>
    </row>
    <row r="620" spans="1:16" ht="15.75" customHeight="1">
      <c r="A620" s="403">
        <v>0.9</v>
      </c>
      <c r="B620" s="294"/>
      <c r="C620" s="404" t="e">
        <f ca="1">OFFSET(Metabólica!$D66,,$H$564)</f>
        <v>#N/A</v>
      </c>
      <c r="D620" s="294"/>
      <c r="E620" s="404" t="e">
        <f t="shared" ca="1" si="21"/>
        <v>#N/A</v>
      </c>
      <c r="F620" s="294"/>
      <c r="G620" s="405">
        <f ca="1">IF($G$609="Av0","-",OFFSET(Metabólica!$D91,,$F$609+1))</f>
        <v>16.3</v>
      </c>
      <c r="H620" s="294"/>
      <c r="I620" s="405">
        <f t="shared" ca="1" si="22"/>
        <v>3.6809815950920242</v>
      </c>
      <c r="J620" s="294"/>
      <c r="K620" s="400" t="str">
        <f ca="1">IF($K$609="Av0","-",OFFSET(Metabólica!$D91,,$J$609+1))</f>
        <v>-</v>
      </c>
      <c r="L620" s="294"/>
      <c r="M620" s="411">
        <v>45511</v>
      </c>
      <c r="N620" s="294"/>
      <c r="O620" s="401" t="s">
        <v>436</v>
      </c>
      <c r="P620" s="294"/>
    </row>
    <row r="621" spans="1:16" ht="15.75" customHeight="1">
      <c r="A621" s="415">
        <v>0.95</v>
      </c>
      <c r="B621" s="294"/>
      <c r="C621" s="412" t="e">
        <f ca="1">OFFSET(Metabólica!$D67,,$H$564)</f>
        <v>#N/A</v>
      </c>
      <c r="D621" s="294"/>
      <c r="E621" s="412" t="e">
        <f t="shared" ca="1" si="21"/>
        <v>#N/A</v>
      </c>
      <c r="F621" s="294"/>
      <c r="G621" s="413">
        <f ca="1">IF($G$609="Av0","-",OFFSET(Metabólica!$D92,,$F$609+1))</f>
        <v>17.2</v>
      </c>
      <c r="H621" s="294"/>
      <c r="I621" s="413">
        <f t="shared" ca="1" si="22"/>
        <v>3.4883720930232558</v>
      </c>
      <c r="J621" s="294"/>
      <c r="K621" s="410" t="str">
        <f ca="1">IF($K$609="Av0","-",OFFSET(Metabólica!$D92,,$J$609+1))</f>
        <v>-</v>
      </c>
      <c r="L621" s="294"/>
      <c r="M621" s="410">
        <v>9</v>
      </c>
      <c r="N621" s="294"/>
      <c r="O621" s="414" t="s">
        <v>228</v>
      </c>
      <c r="P621" s="294"/>
    </row>
    <row r="622" spans="1:16" ht="15.75" customHeight="1">
      <c r="A622" s="415">
        <v>1</v>
      </c>
      <c r="B622" s="294"/>
      <c r="C622" s="412" t="e">
        <f ca="1">OFFSET(Metabólica!$D68,,$H$564)</f>
        <v>#N/A</v>
      </c>
      <c r="D622" s="294"/>
      <c r="E622" s="412" t="e">
        <f t="shared" ca="1" si="21"/>
        <v>#N/A</v>
      </c>
      <c r="F622" s="294"/>
      <c r="G622" s="413">
        <f ca="1">IF($G$609="Av0","-",OFFSET(Metabólica!$D93,,$F$609+1))</f>
        <v>18.100000000000001</v>
      </c>
      <c r="H622" s="294"/>
      <c r="I622" s="413">
        <f t="shared" ca="1" si="22"/>
        <v>3.3149171270718227</v>
      </c>
      <c r="J622" s="294"/>
      <c r="K622" s="410" t="str">
        <f ca="1">IF($K$609="Av0","-",OFFSET(Metabólica!$D93,,$J$609+1))</f>
        <v>-</v>
      </c>
      <c r="L622" s="294"/>
      <c r="M622" s="410">
        <v>10</v>
      </c>
      <c r="N622" s="294"/>
      <c r="O622" s="414" t="s">
        <v>228</v>
      </c>
      <c r="P622" s="294"/>
    </row>
    <row r="623" spans="1:16" ht="15.75" customHeight="1">
      <c r="A623" s="419">
        <v>1.1000000000000001</v>
      </c>
      <c r="B623" s="294"/>
      <c r="C623" s="416" t="s">
        <v>55</v>
      </c>
      <c r="D623" s="294"/>
      <c r="E623" s="416" t="s">
        <v>55</v>
      </c>
      <c r="F623" s="294"/>
      <c r="G623" s="417">
        <f ca="1">IF($G$609="Av0","-",OFFSET(Metabólica!$D94,,$F$609+1))</f>
        <v>21.1</v>
      </c>
      <c r="H623" s="294"/>
      <c r="I623" s="417">
        <f t="shared" ca="1" si="22"/>
        <v>2.8436018957345968</v>
      </c>
      <c r="J623" s="294"/>
      <c r="K623" s="416" t="str">
        <f ca="1">IF($K$609="Av0","-",OFFSET(Metabólica!$D94,,$J$609+1))</f>
        <v>-</v>
      </c>
      <c r="L623" s="294"/>
      <c r="M623" s="416">
        <v>10</v>
      </c>
      <c r="N623" s="294"/>
      <c r="O623" s="418" t="s">
        <v>437</v>
      </c>
      <c r="P623" s="294"/>
    </row>
    <row r="624" spans="1:16" ht="15.75" customHeight="1">
      <c r="A624" s="419">
        <v>1.2</v>
      </c>
      <c r="B624" s="294"/>
      <c r="C624" s="416" t="s">
        <v>55</v>
      </c>
      <c r="D624" s="294"/>
      <c r="E624" s="416" t="s">
        <v>55</v>
      </c>
      <c r="F624" s="294"/>
      <c r="G624" s="417">
        <f ca="1">IF($G$609="Av0","-",OFFSET(Metabólica!$D95,,$F$609+1))</f>
        <v>23.1</v>
      </c>
      <c r="H624" s="294"/>
      <c r="I624" s="417">
        <f t="shared" ca="1" si="22"/>
        <v>2.5974025974025974</v>
      </c>
      <c r="J624" s="294"/>
      <c r="K624" s="416" t="str">
        <f ca="1">IF($K$609="Av0","-",OFFSET(Metabólica!$D95,,$J$609+1))</f>
        <v>-</v>
      </c>
      <c r="L624" s="294"/>
      <c r="M624" s="416">
        <v>10</v>
      </c>
      <c r="N624" s="294"/>
      <c r="O624" s="418" t="s">
        <v>437</v>
      </c>
      <c r="P624" s="294"/>
    </row>
    <row r="628" spans="1:16" ht="15.75" customHeight="1">
      <c r="F628" s="321" t="s">
        <v>42</v>
      </c>
      <c r="G628" s="294"/>
      <c r="H628" s="391">
        <f ca="1">E592</f>
        <v>45078</v>
      </c>
      <c r="I628" s="294"/>
      <c r="J628" s="294"/>
      <c r="K628" s="130">
        <f>MATCH($F$628,Metabólica!$E$1:$AH$1,0)</f>
        <v>1</v>
      </c>
      <c r="L628" s="132" t="str">
        <f ca="1">OFFSET('BD tratado'!$D$136,,MATCH($F$628,BD!$B$1:$P$1,0))</f>
        <v>Teste de Esteira Progressiva</v>
      </c>
    </row>
    <row r="630" spans="1:16" ht="15.75" customHeight="1">
      <c r="A630" s="390" t="s">
        <v>438</v>
      </c>
      <c r="B630" s="294"/>
      <c r="C630" s="390" t="s">
        <v>439</v>
      </c>
      <c r="D630" s="294"/>
      <c r="E630" s="390" t="s">
        <v>440</v>
      </c>
      <c r="F630" s="294"/>
      <c r="G630" s="390" t="s">
        <v>441</v>
      </c>
      <c r="H630" s="294"/>
      <c r="I630" s="390" t="s">
        <v>442</v>
      </c>
      <c r="J630" s="294"/>
      <c r="K630" s="390" t="s">
        <v>443</v>
      </c>
      <c r="L630" s="294"/>
      <c r="M630" s="390" t="s">
        <v>432</v>
      </c>
      <c r="N630" s="294"/>
      <c r="O630" s="390" t="s">
        <v>433</v>
      </c>
      <c r="P630" s="294"/>
    </row>
    <row r="631" spans="1:16" ht="15.75" customHeight="1">
      <c r="A631" s="294"/>
      <c r="B631" s="294"/>
      <c r="C631" s="294"/>
      <c r="D631" s="294"/>
      <c r="E631" s="294"/>
      <c r="F631" s="294"/>
      <c r="G631" s="294"/>
      <c r="H631" s="294"/>
      <c r="I631" s="294"/>
      <c r="J631" s="294"/>
      <c r="K631" s="294"/>
      <c r="L631" s="294"/>
      <c r="M631" s="294"/>
      <c r="N631" s="294"/>
      <c r="O631" s="294"/>
      <c r="P631" s="294"/>
    </row>
    <row r="632" spans="1:16" ht="15.75" customHeight="1">
      <c r="A632" s="420">
        <v>0.5</v>
      </c>
      <c r="B632" s="294"/>
      <c r="C632" s="421">
        <f ca="1">OFFSET(Metabólica!$D58,,$K$628)</f>
        <v>100</v>
      </c>
      <c r="D632" s="294"/>
      <c r="E632" s="421">
        <f t="shared" ref="E632:E642" ca="1" si="23">C632/4</f>
        <v>25</v>
      </c>
      <c r="F632" s="294"/>
      <c r="G632" s="422">
        <f ca="1">IF($L$628="Teste de Esteira Progressiva",OFFSET(Metabólica!$D83,,$K$628+1),"-")</f>
        <v>8.4</v>
      </c>
      <c r="H632" s="294"/>
      <c r="I632" s="422">
        <f t="shared" ref="I632:I644" ca="1" si="24">IF(G632="-","-",60/G632)</f>
        <v>7.1428571428571423</v>
      </c>
      <c r="J632" s="294"/>
      <c r="K632" s="384" t="str">
        <f ca="1">IF($L$628="Teste Bicicleta Ergométrica Balke",OFFSET(Metabólica!$D83,,$K$628+1),"-")</f>
        <v>-</v>
      </c>
      <c r="L632" s="294"/>
      <c r="M632" s="395">
        <v>45323</v>
      </c>
      <c r="N632" s="294"/>
      <c r="O632" s="396" t="s">
        <v>434</v>
      </c>
      <c r="P632" s="294"/>
    </row>
    <row r="633" spans="1:16" ht="15.75" customHeight="1">
      <c r="A633" s="420">
        <v>0.55000000000000004</v>
      </c>
      <c r="B633" s="294"/>
      <c r="C633" s="421">
        <f ca="1">OFFSET(Metabólica!$D59,,$K$628)</f>
        <v>105.5</v>
      </c>
      <c r="D633" s="294"/>
      <c r="E633" s="421">
        <f t="shared" ca="1" si="23"/>
        <v>26.375</v>
      </c>
      <c r="F633" s="294"/>
      <c r="G633" s="422">
        <f ca="1">IF($L$628="Teste de Esteira Progressiva",OFFSET(Metabólica!$D84,,$K$628+1),"-")</f>
        <v>9</v>
      </c>
      <c r="H633" s="294"/>
      <c r="I633" s="422">
        <f t="shared" ca="1" si="24"/>
        <v>6.666666666666667</v>
      </c>
      <c r="J633" s="294"/>
      <c r="K633" s="384" t="str">
        <f ca="1">IF($L$628="Teste Bicicleta Ergométrica Balke",OFFSET(Metabólica!$D84,,$K$628+1),"-")</f>
        <v>-</v>
      </c>
      <c r="L633" s="294"/>
      <c r="M633" s="384">
        <v>2</v>
      </c>
      <c r="N633" s="294"/>
      <c r="O633" s="396" t="s">
        <v>434</v>
      </c>
      <c r="P633" s="294"/>
    </row>
    <row r="634" spans="1:16" ht="15.75" customHeight="1">
      <c r="A634" s="420">
        <v>0.6</v>
      </c>
      <c r="B634" s="294"/>
      <c r="C634" s="421">
        <f ca="1">OFFSET(Metabólica!$D60,,$K$628)</f>
        <v>111</v>
      </c>
      <c r="D634" s="294"/>
      <c r="E634" s="421">
        <f t="shared" ca="1" si="23"/>
        <v>27.75</v>
      </c>
      <c r="F634" s="294"/>
      <c r="G634" s="422">
        <f ca="1">IF($L$628="Teste de Esteira Progressiva",OFFSET(Metabólica!$D85,,$K$628+1),"-")</f>
        <v>9.8000000000000007</v>
      </c>
      <c r="H634" s="294"/>
      <c r="I634" s="422">
        <f t="shared" ca="1" si="24"/>
        <v>6.1224489795918364</v>
      </c>
      <c r="J634" s="294"/>
      <c r="K634" s="384" t="str">
        <f ca="1">IF($L$628="Teste Bicicleta Ergométrica Balke",OFFSET(Metabólica!$D85,,$K$628+1),"-")</f>
        <v>-</v>
      </c>
      <c r="L634" s="294"/>
      <c r="M634" s="395">
        <v>45353</v>
      </c>
      <c r="N634" s="294"/>
      <c r="O634" s="396" t="s">
        <v>434</v>
      </c>
      <c r="P634" s="294"/>
    </row>
    <row r="635" spans="1:16" ht="15.75" customHeight="1">
      <c r="A635" s="402">
        <v>0.65</v>
      </c>
      <c r="B635" s="294"/>
      <c r="C635" s="406">
        <f ca="1">OFFSET(Metabólica!$D61,,$K$628)</f>
        <v>116.5</v>
      </c>
      <c r="D635" s="294"/>
      <c r="E635" s="406">
        <f t="shared" ca="1" si="23"/>
        <v>29.125</v>
      </c>
      <c r="F635" s="294"/>
      <c r="G635" s="407" t="e">
        <f ca="1">IF($L$628="Teste de Esteira Progressiva",OFFSET(Metabólica!$D86,,$K$628+1),"-")</f>
        <v>#NAME?</v>
      </c>
      <c r="H635" s="294"/>
      <c r="I635" s="407" t="e">
        <f t="shared" ca="1" si="24"/>
        <v>#NAME?</v>
      </c>
      <c r="J635" s="294"/>
      <c r="K635" s="408" t="str">
        <f ca="1">IF($L$628="Teste Bicicleta Ergométrica Balke",OFFSET(Metabólica!$D86,,$K$628+1),"-")</f>
        <v>-</v>
      </c>
      <c r="L635" s="294"/>
      <c r="M635" s="408">
        <v>3</v>
      </c>
      <c r="N635" s="294"/>
      <c r="O635" s="409" t="s">
        <v>435</v>
      </c>
      <c r="P635" s="294"/>
    </row>
    <row r="636" spans="1:16" ht="15.75" customHeight="1">
      <c r="A636" s="402">
        <v>0.7</v>
      </c>
      <c r="B636" s="294"/>
      <c r="C636" s="406">
        <f ca="1">OFFSET(Metabólica!$D62,,$K$628)</f>
        <v>122</v>
      </c>
      <c r="D636" s="294"/>
      <c r="E636" s="406">
        <f t="shared" ca="1" si="23"/>
        <v>30.5</v>
      </c>
      <c r="F636" s="294"/>
      <c r="G636" s="407" t="e">
        <f ca="1">IF($L$628="Teste de Esteira Progressiva",OFFSET(Metabólica!$D87,,$K$628+1),"-")</f>
        <v>#NAME?</v>
      </c>
      <c r="H636" s="294"/>
      <c r="I636" s="407" t="e">
        <f t="shared" ca="1" si="24"/>
        <v>#NAME?</v>
      </c>
      <c r="J636" s="294"/>
      <c r="K636" s="408" t="str">
        <f ca="1">IF($L$628="Teste Bicicleta Ergométrica Balke",OFFSET(Metabólica!$D87,,$K$628+1),"-")</f>
        <v>-</v>
      </c>
      <c r="L636" s="294"/>
      <c r="M636" s="423">
        <v>45385</v>
      </c>
      <c r="N636" s="294"/>
      <c r="O636" s="409" t="s">
        <v>435</v>
      </c>
      <c r="P636" s="294"/>
    </row>
    <row r="637" spans="1:16" ht="15.75" customHeight="1">
      <c r="A637" s="402">
        <v>0.75</v>
      </c>
      <c r="B637" s="294"/>
      <c r="C637" s="406">
        <f ca="1">OFFSET(Metabólica!$D63,,$K$628)</f>
        <v>127.5</v>
      </c>
      <c r="D637" s="294"/>
      <c r="E637" s="406">
        <f t="shared" ca="1" si="23"/>
        <v>31.875</v>
      </c>
      <c r="F637" s="294"/>
      <c r="G637" s="407" t="e">
        <f ca="1">IF($L$628="Teste de Esteira Progressiva",OFFSET(Metabólica!$D88,,$K$628+1),"-")</f>
        <v>#NAME?</v>
      </c>
      <c r="H637" s="294"/>
      <c r="I637" s="407" t="e">
        <f t="shared" ca="1" si="24"/>
        <v>#NAME?</v>
      </c>
      <c r="J637" s="294"/>
      <c r="K637" s="408" t="str">
        <f ca="1">IF($L$628="Teste Bicicleta Ergométrica Balke",OFFSET(Metabólica!$D88,,$K$628+1),"-")</f>
        <v>-</v>
      </c>
      <c r="L637" s="294"/>
      <c r="M637" s="408">
        <v>4</v>
      </c>
      <c r="N637" s="294"/>
      <c r="O637" s="409" t="s">
        <v>435</v>
      </c>
      <c r="P637" s="294"/>
    </row>
    <row r="638" spans="1:16" ht="15.75" customHeight="1">
      <c r="A638" s="403">
        <v>0.8</v>
      </c>
      <c r="B638" s="294"/>
      <c r="C638" s="404">
        <f ca="1">OFFSET(Metabólica!$D64,,$K$628)</f>
        <v>133</v>
      </c>
      <c r="D638" s="294"/>
      <c r="E638" s="404">
        <f t="shared" ca="1" si="23"/>
        <v>33.25</v>
      </c>
      <c r="F638" s="294"/>
      <c r="G638" s="405" t="e">
        <f ca="1">IF($L$628="Teste de Esteira Progressiva",OFFSET(Metabólica!$D89,,$K$628+1),"-")</f>
        <v>#NAME?</v>
      </c>
      <c r="H638" s="294"/>
      <c r="I638" s="405" t="e">
        <f t="shared" ca="1" si="24"/>
        <v>#NAME?</v>
      </c>
      <c r="J638" s="294"/>
      <c r="K638" s="400" t="str">
        <f ca="1">IF($L$628="Teste Bicicleta Ergométrica Balke",OFFSET(Metabólica!$D89,,$K$628+1),"-")</f>
        <v>-</v>
      </c>
      <c r="L638" s="294"/>
      <c r="M638" s="400">
        <v>5</v>
      </c>
      <c r="N638" s="294"/>
      <c r="O638" s="401" t="s">
        <v>436</v>
      </c>
      <c r="P638" s="294"/>
    </row>
    <row r="639" spans="1:16" ht="15.75" customHeight="1">
      <c r="A639" s="403">
        <v>0.85</v>
      </c>
      <c r="B639" s="294"/>
      <c r="C639" s="404">
        <f ca="1">OFFSET(Metabólica!$D65,,$K$628)</f>
        <v>138.5</v>
      </c>
      <c r="D639" s="294"/>
      <c r="E639" s="404">
        <f t="shared" ca="1" si="23"/>
        <v>34.625</v>
      </c>
      <c r="F639" s="294"/>
      <c r="G639" s="405" t="e">
        <f ca="1">IF($L$628="Teste de Esteira Progressiva",OFFSET(Metabólica!$D90,,$K$628+1),"-")</f>
        <v>#NAME?</v>
      </c>
      <c r="H639" s="294"/>
      <c r="I639" s="405" t="e">
        <f t="shared" ca="1" si="24"/>
        <v>#NAME?</v>
      </c>
      <c r="J639" s="294"/>
      <c r="K639" s="400" t="str">
        <f ca="1">IF($L$628="Teste Bicicleta Ergométrica Balke",OFFSET(Metabólica!$D90,,$K$628+1),"-")</f>
        <v>-</v>
      </c>
      <c r="L639" s="294"/>
      <c r="M639" s="400">
        <v>6</v>
      </c>
      <c r="N639" s="294"/>
      <c r="O639" s="401" t="s">
        <v>436</v>
      </c>
      <c r="P639" s="294"/>
    </row>
    <row r="640" spans="1:16" ht="15.75" customHeight="1">
      <c r="A640" s="403">
        <v>0.9</v>
      </c>
      <c r="B640" s="294"/>
      <c r="C640" s="404">
        <f ca="1">OFFSET(Metabólica!$D66,,$K$628)</f>
        <v>144</v>
      </c>
      <c r="D640" s="294"/>
      <c r="E640" s="404">
        <f t="shared" ca="1" si="23"/>
        <v>36</v>
      </c>
      <c r="F640" s="294"/>
      <c r="G640" s="405" t="e">
        <f ca="1">IF($L$628="Teste de Esteira Progressiva",OFFSET(Metabólica!$D91,,$K$628+1),"-")</f>
        <v>#NAME?</v>
      </c>
      <c r="H640" s="294"/>
      <c r="I640" s="405" t="e">
        <f t="shared" ca="1" si="24"/>
        <v>#NAME?</v>
      </c>
      <c r="J640" s="294"/>
      <c r="K640" s="400" t="str">
        <f ca="1">IF($L$628="Teste Bicicleta Ergométrica Balke",OFFSET(Metabólica!$D91,,$K$628+1),"-")</f>
        <v>-</v>
      </c>
      <c r="L640" s="294"/>
      <c r="M640" s="411">
        <v>45511</v>
      </c>
      <c r="N640" s="294"/>
      <c r="O640" s="401" t="s">
        <v>436</v>
      </c>
      <c r="P640" s="294"/>
    </row>
    <row r="641" spans="1:16" ht="15.75" customHeight="1">
      <c r="A641" s="415">
        <v>0.95</v>
      </c>
      <c r="B641" s="294"/>
      <c r="C641" s="412">
        <f ca="1">OFFSET(Metabólica!$D67,,$K$628)</f>
        <v>149.5</v>
      </c>
      <c r="D641" s="294"/>
      <c r="E641" s="412">
        <f t="shared" ca="1" si="23"/>
        <v>37.375</v>
      </c>
      <c r="F641" s="294"/>
      <c r="G641" s="413" t="e">
        <f ca="1">IF($L$628="Teste de Esteira Progressiva",OFFSET(Metabólica!$D92,,$K$628+1),"-")</f>
        <v>#NAME?</v>
      </c>
      <c r="H641" s="294"/>
      <c r="I641" s="413" t="e">
        <f t="shared" ca="1" si="24"/>
        <v>#NAME?</v>
      </c>
      <c r="J641" s="294"/>
      <c r="K641" s="410" t="str">
        <f ca="1">IF($L$628="Teste Bicicleta Ergométrica Balke",OFFSET(Metabólica!$D92,,$K$628+1),"-")</f>
        <v>-</v>
      </c>
      <c r="L641" s="294"/>
      <c r="M641" s="410">
        <v>9</v>
      </c>
      <c r="N641" s="294"/>
      <c r="O641" s="414" t="s">
        <v>228</v>
      </c>
      <c r="P641" s="294"/>
    </row>
    <row r="642" spans="1:16" ht="15.75" customHeight="1">
      <c r="A642" s="415">
        <v>1</v>
      </c>
      <c r="B642" s="294"/>
      <c r="C642" s="412">
        <f ca="1">OFFSET(Metabólica!$D68,,$K$628)</f>
        <v>155</v>
      </c>
      <c r="D642" s="294"/>
      <c r="E642" s="412">
        <f t="shared" ca="1" si="23"/>
        <v>38.75</v>
      </c>
      <c r="F642" s="294"/>
      <c r="G642" s="413" t="e">
        <f ca="1">IF($L$628="Teste de Esteira Progressiva",OFFSET(Metabólica!$D93,,$K$628+1),"-")</f>
        <v>#NAME?</v>
      </c>
      <c r="H642" s="294"/>
      <c r="I642" s="413" t="e">
        <f t="shared" ca="1" si="24"/>
        <v>#NAME?</v>
      </c>
      <c r="J642" s="294"/>
      <c r="K642" s="410" t="str">
        <f ca="1">IF($L$628="Teste Bicicleta Ergométrica Balke",OFFSET(Metabólica!$D93,,$K$628+1),"-")</f>
        <v>-</v>
      </c>
      <c r="L642" s="294"/>
      <c r="M642" s="410">
        <v>10</v>
      </c>
      <c r="N642" s="294"/>
      <c r="O642" s="414" t="s">
        <v>228</v>
      </c>
      <c r="P642" s="294"/>
    </row>
    <row r="643" spans="1:16" ht="15.75" customHeight="1">
      <c r="A643" s="419">
        <v>1.1000000000000001</v>
      </c>
      <c r="B643" s="294"/>
      <c r="C643" s="416" t="s">
        <v>55</v>
      </c>
      <c r="D643" s="294"/>
      <c r="E643" s="416" t="s">
        <v>55</v>
      </c>
      <c r="F643" s="294"/>
      <c r="G643" s="417" t="e">
        <f ca="1">IF($L$628="Teste de Esteira Progressiva",OFFSET(Metabólica!$D94,,$K$628+1),"-")</f>
        <v>#NAME?</v>
      </c>
      <c r="H643" s="294"/>
      <c r="I643" s="417" t="e">
        <f t="shared" ca="1" si="24"/>
        <v>#NAME?</v>
      </c>
      <c r="J643" s="294"/>
      <c r="K643" s="416" t="str">
        <f ca="1">IF($L$628="Teste Bicicleta Ergométrica Balke",OFFSET(Metabólica!$D94,,$K$628+1),"-")</f>
        <v>-</v>
      </c>
      <c r="L643" s="294"/>
      <c r="M643" s="416">
        <v>10</v>
      </c>
      <c r="N643" s="294"/>
      <c r="O643" s="418" t="s">
        <v>437</v>
      </c>
      <c r="P643" s="294"/>
    </row>
    <row r="644" spans="1:16" ht="15.75" customHeight="1">
      <c r="A644" s="419">
        <v>1.2</v>
      </c>
      <c r="B644" s="294"/>
      <c r="C644" s="416" t="s">
        <v>55</v>
      </c>
      <c r="D644" s="294"/>
      <c r="E644" s="416" t="s">
        <v>55</v>
      </c>
      <c r="F644" s="294"/>
      <c r="G644" s="417" t="e">
        <f ca="1">IF($L$628="Teste de Esteira Progressiva",OFFSET(Metabólica!$D95,,$K$628+1),"-")</f>
        <v>#NAME?</v>
      </c>
      <c r="H644" s="294"/>
      <c r="I644" s="417" t="e">
        <f t="shared" ca="1" si="24"/>
        <v>#NAME?</v>
      </c>
      <c r="J644" s="294"/>
      <c r="K644" s="416" t="str">
        <f ca="1">IF($L$628="Teste Bicicleta Ergométrica Balke",OFFSET(Metabólica!$D95,,$K$628+1),"-")</f>
        <v>-</v>
      </c>
      <c r="L644" s="294"/>
      <c r="M644" s="416">
        <v>10</v>
      </c>
      <c r="N644" s="294"/>
      <c r="O644" s="418" t="s">
        <v>437</v>
      </c>
      <c r="P644" s="294"/>
    </row>
    <row r="648" spans="1:16" ht="15.75" customHeight="1">
      <c r="A648" s="392" t="s">
        <v>444</v>
      </c>
      <c r="B648" s="294"/>
      <c r="C648" s="294"/>
      <c r="D648" s="294"/>
      <c r="E648" s="294"/>
      <c r="F648" s="294"/>
      <c r="G648" s="294"/>
      <c r="H648" s="294"/>
      <c r="I648" s="294"/>
      <c r="J648" s="294"/>
      <c r="K648" s="294"/>
      <c r="L648" s="294"/>
      <c r="M648" s="294"/>
      <c r="N648" s="294"/>
      <c r="O648" s="294"/>
      <c r="P648" s="294"/>
    </row>
    <row r="649" spans="1:16" ht="15.75" customHeight="1">
      <c r="A649" s="294"/>
      <c r="B649" s="294"/>
      <c r="C649" s="294"/>
      <c r="D649" s="294"/>
      <c r="E649" s="294"/>
      <c r="F649" s="294"/>
      <c r="G649" s="294"/>
      <c r="H649" s="294"/>
      <c r="I649" s="294"/>
      <c r="J649" s="294"/>
      <c r="K649" s="294"/>
      <c r="L649" s="294"/>
      <c r="M649" s="294"/>
      <c r="N649" s="294"/>
      <c r="O649" s="294"/>
      <c r="P649" s="294"/>
    </row>
    <row r="650" spans="1:16" ht="15.75" customHeight="1">
      <c r="A650" s="331" t="s">
        <v>445</v>
      </c>
      <c r="B650" s="294"/>
      <c r="C650" s="294"/>
      <c r="D650" s="294"/>
      <c r="E650" s="294"/>
      <c r="F650" s="294"/>
      <c r="G650" s="294"/>
      <c r="H650" s="294"/>
      <c r="I650" s="294"/>
      <c r="J650" s="294"/>
      <c r="K650" s="294"/>
      <c r="L650" s="294"/>
      <c r="M650" s="294"/>
      <c r="N650" s="294"/>
      <c r="O650" s="294"/>
      <c r="P650" s="294"/>
    </row>
    <row r="651" spans="1:16" ht="15.75" customHeight="1">
      <c r="A651" s="294"/>
      <c r="B651" s="294"/>
      <c r="C651" s="294"/>
      <c r="D651" s="294"/>
      <c r="E651" s="294"/>
      <c r="F651" s="294"/>
      <c r="G651" s="294"/>
      <c r="H651" s="294"/>
      <c r="I651" s="294"/>
      <c r="J651" s="294"/>
      <c r="K651" s="294"/>
      <c r="L651" s="294"/>
      <c r="M651" s="294"/>
      <c r="N651" s="294"/>
      <c r="O651" s="294"/>
      <c r="P651" s="294"/>
    </row>
    <row r="652" spans="1:16" ht="15.75" customHeight="1">
      <c r="A652" s="294"/>
      <c r="B652" s="294"/>
      <c r="C652" s="294"/>
      <c r="D652" s="294"/>
      <c r="E652" s="294"/>
      <c r="F652" s="294"/>
      <c r="G652" s="294"/>
      <c r="H652" s="294"/>
      <c r="I652" s="294"/>
      <c r="J652" s="294"/>
      <c r="K652" s="294"/>
      <c r="L652" s="294"/>
      <c r="M652" s="294"/>
      <c r="N652" s="294"/>
      <c r="O652" s="294"/>
      <c r="P652" s="294"/>
    </row>
    <row r="653" spans="1:16" ht="15.75" customHeight="1">
      <c r="A653" s="294"/>
      <c r="B653" s="294"/>
      <c r="C653" s="294"/>
      <c r="D653" s="294"/>
      <c r="E653" s="294"/>
      <c r="F653" s="294"/>
      <c r="G653" s="294"/>
      <c r="H653" s="294"/>
      <c r="I653" s="294"/>
      <c r="J653" s="294"/>
      <c r="K653" s="294"/>
      <c r="L653" s="294"/>
      <c r="M653" s="294"/>
      <c r="N653" s="294"/>
      <c r="O653" s="294"/>
      <c r="P653" s="294"/>
    </row>
    <row r="654" spans="1:16" ht="15.75" customHeight="1">
      <c r="A654" s="294"/>
      <c r="B654" s="294"/>
      <c r="C654" s="294"/>
      <c r="D654" s="294"/>
      <c r="E654" s="294"/>
      <c r="F654" s="294"/>
      <c r="G654" s="294"/>
      <c r="H654" s="294"/>
      <c r="I654" s="294"/>
      <c r="J654" s="294"/>
      <c r="K654" s="294"/>
      <c r="L654" s="294"/>
      <c r="M654" s="294"/>
      <c r="N654" s="294"/>
      <c r="O654" s="294"/>
      <c r="P654" s="294"/>
    </row>
    <row r="655" spans="1:16" ht="15.75" customHeight="1">
      <c r="A655" s="294"/>
      <c r="B655" s="294"/>
      <c r="C655" s="294"/>
      <c r="D655" s="294"/>
      <c r="E655" s="294"/>
      <c r="F655" s="294"/>
      <c r="G655" s="294"/>
      <c r="H655" s="294"/>
      <c r="I655" s="294"/>
      <c r="J655" s="294"/>
      <c r="K655" s="294"/>
      <c r="L655" s="294"/>
      <c r="M655" s="294"/>
      <c r="N655" s="294"/>
      <c r="O655" s="294"/>
      <c r="P655" s="294"/>
    </row>
    <row r="656" spans="1:16" ht="15.75" customHeight="1">
      <c r="A656" s="68"/>
      <c r="B656" s="68"/>
      <c r="C656" s="68"/>
      <c r="D656" s="68"/>
      <c r="E656" s="68"/>
      <c r="F656" s="68"/>
      <c r="G656" s="68"/>
      <c r="H656" s="68"/>
      <c r="I656" s="68"/>
      <c r="J656" s="68"/>
      <c r="K656" s="68"/>
      <c r="L656" s="68"/>
      <c r="M656" s="68"/>
      <c r="N656" s="68"/>
      <c r="O656" s="68"/>
      <c r="P656" s="68"/>
    </row>
    <row r="657" spans="1:16" ht="15.75" customHeight="1">
      <c r="A657" s="331"/>
      <c r="B657" s="294"/>
      <c r="C657" s="321" t="str">
        <f ca="1">'BD tratado'!C1</f>
        <v>Av15</v>
      </c>
      <c r="D657" s="294"/>
      <c r="E657" s="391">
        <f ca="1">OFFSET(BD!$A$2,,MATCH(C657,BD!$B$1:$P$1,0))</f>
        <v>0</v>
      </c>
      <c r="F657" s="294"/>
      <c r="G657" s="294"/>
      <c r="H657" s="68" t="s">
        <v>426</v>
      </c>
      <c r="I657" s="68"/>
      <c r="J657" s="331" t="s">
        <v>38</v>
      </c>
      <c r="K657" s="294"/>
      <c r="L657" s="391">
        <f ca="1">IF(J657="","",OFFSET(BD!$A$2,,MATCH(J657,BD!$B$1:$P$1,0)))</f>
        <v>44517</v>
      </c>
      <c r="M657" s="294"/>
      <c r="N657" s="294"/>
      <c r="O657" s="68"/>
      <c r="P657" s="68"/>
    </row>
    <row r="658" spans="1:16" ht="15.75" customHeight="1">
      <c r="A658" s="68"/>
      <c r="B658" s="68"/>
      <c r="C658" s="68"/>
      <c r="D658" s="68"/>
      <c r="E658" s="68"/>
      <c r="F658" s="68"/>
      <c r="G658" s="68"/>
      <c r="H658" s="68"/>
      <c r="I658" s="68"/>
      <c r="J658" s="68"/>
      <c r="K658" s="68"/>
      <c r="L658" s="68"/>
      <c r="M658" s="68"/>
      <c r="N658" s="68"/>
      <c r="O658" s="68"/>
      <c r="P658" s="68"/>
    </row>
    <row r="659" spans="1:16" ht="15.75" customHeight="1">
      <c r="A659" s="321"/>
      <c r="B659" s="294"/>
      <c r="C659" s="294"/>
      <c r="D659" s="294"/>
      <c r="E659" s="294"/>
      <c r="F659" s="294"/>
      <c r="G659" s="294"/>
      <c r="H659" s="294"/>
      <c r="I659" s="294"/>
      <c r="J659" s="294"/>
      <c r="K659" s="294"/>
      <c r="L659" s="294"/>
      <c r="M659" s="294"/>
      <c r="N659" s="294"/>
      <c r="O659" s="294"/>
      <c r="P659" s="294"/>
    </row>
    <row r="660" spans="1:16" ht="15.75" customHeight="1">
      <c r="A660" s="294"/>
      <c r="B660" s="294"/>
      <c r="C660" s="294"/>
      <c r="D660" s="294"/>
      <c r="E660" s="294"/>
      <c r="F660" s="294"/>
      <c r="G660" s="294"/>
      <c r="H660" s="294"/>
      <c r="I660" s="294"/>
      <c r="J660" s="294"/>
      <c r="K660" s="294"/>
      <c r="L660" s="294"/>
      <c r="M660" s="294"/>
      <c r="N660" s="294"/>
      <c r="O660" s="294"/>
      <c r="P660" s="294"/>
    </row>
    <row r="661" spans="1:16" ht="15.75" customHeight="1">
      <c r="A661" s="294"/>
      <c r="B661" s="294"/>
      <c r="C661" s="294"/>
      <c r="D661" s="294"/>
      <c r="E661" s="294"/>
      <c r="F661" s="294"/>
      <c r="G661" s="294"/>
      <c r="H661" s="294"/>
      <c r="I661" s="294"/>
      <c r="J661" s="294"/>
      <c r="K661" s="294"/>
      <c r="L661" s="294"/>
      <c r="M661" s="294"/>
      <c r="N661" s="294"/>
      <c r="O661" s="294"/>
      <c r="P661" s="294"/>
    </row>
    <row r="662" spans="1:16" ht="15.75" customHeight="1">
      <c r="A662" s="294"/>
      <c r="B662" s="294"/>
      <c r="C662" s="294"/>
      <c r="D662" s="294"/>
      <c r="E662" s="294"/>
      <c r="F662" s="294"/>
      <c r="G662" s="294"/>
      <c r="H662" s="294"/>
      <c r="I662" s="294"/>
      <c r="J662" s="294"/>
      <c r="K662" s="294"/>
      <c r="L662" s="294"/>
      <c r="M662" s="294"/>
      <c r="N662" s="294"/>
      <c r="O662" s="294"/>
      <c r="P662" s="294"/>
    </row>
    <row r="663" spans="1:16" ht="15.75" customHeight="1">
      <c r="A663" s="294"/>
      <c r="B663" s="294"/>
      <c r="C663" s="294"/>
      <c r="D663" s="294"/>
      <c r="E663" s="294"/>
      <c r="F663" s="294"/>
      <c r="G663" s="294"/>
      <c r="H663" s="294"/>
      <c r="I663" s="294"/>
      <c r="J663" s="294"/>
      <c r="K663" s="294"/>
      <c r="L663" s="294"/>
      <c r="M663" s="294"/>
      <c r="N663" s="294"/>
      <c r="O663" s="294"/>
      <c r="P663" s="294"/>
    </row>
    <row r="664" spans="1:16" ht="15.75" customHeight="1">
      <c r="A664" s="294"/>
      <c r="B664" s="294"/>
      <c r="C664" s="294"/>
      <c r="D664" s="294"/>
      <c r="E664" s="294"/>
      <c r="F664" s="294"/>
      <c r="G664" s="294"/>
      <c r="H664" s="294"/>
      <c r="I664" s="294"/>
      <c r="J664" s="294"/>
      <c r="K664" s="294"/>
      <c r="L664" s="294"/>
      <c r="M664" s="294"/>
      <c r="N664" s="294"/>
      <c r="O664" s="294"/>
      <c r="P664" s="294"/>
    </row>
    <row r="665" spans="1:16" ht="15.75" customHeight="1">
      <c r="A665" s="294"/>
      <c r="B665" s="294"/>
      <c r="C665" s="294"/>
      <c r="D665" s="294"/>
      <c r="E665" s="294"/>
      <c r="F665" s="294"/>
      <c r="G665" s="294"/>
      <c r="H665" s="294"/>
      <c r="I665" s="294"/>
      <c r="J665" s="294"/>
      <c r="K665" s="294"/>
      <c r="L665" s="294"/>
      <c r="M665" s="294"/>
      <c r="N665" s="294"/>
      <c r="O665" s="294"/>
      <c r="P665" s="294"/>
    </row>
    <row r="666" spans="1:16" ht="15.75" customHeight="1">
      <c r="A666" s="294"/>
      <c r="B666" s="294"/>
      <c r="C666" s="294"/>
      <c r="D666" s="294"/>
      <c r="E666" s="294"/>
      <c r="F666" s="294"/>
      <c r="G666" s="294"/>
      <c r="H666" s="294"/>
      <c r="I666" s="294"/>
      <c r="J666" s="294"/>
      <c r="K666" s="294"/>
      <c r="L666" s="294"/>
      <c r="M666" s="294"/>
      <c r="N666" s="294"/>
      <c r="O666" s="294"/>
      <c r="P666" s="294"/>
    </row>
    <row r="667" spans="1:16" ht="15.75" customHeight="1">
      <c r="A667" s="294"/>
      <c r="B667" s="294"/>
      <c r="C667" s="294"/>
      <c r="D667" s="294"/>
      <c r="E667" s="294"/>
      <c r="F667" s="294"/>
      <c r="G667" s="294"/>
      <c r="H667" s="294"/>
      <c r="I667" s="294"/>
      <c r="J667" s="294"/>
      <c r="K667" s="294"/>
      <c r="L667" s="294"/>
      <c r="M667" s="294"/>
      <c r="N667" s="294"/>
      <c r="O667" s="294"/>
      <c r="P667" s="294"/>
    </row>
    <row r="668" spans="1:16" ht="15.75" customHeight="1">
      <c r="A668" s="294"/>
      <c r="B668" s="294"/>
      <c r="C668" s="294"/>
      <c r="D668" s="294"/>
      <c r="E668" s="294"/>
      <c r="F668" s="294"/>
      <c r="G668" s="294"/>
      <c r="H668" s="294"/>
      <c r="I668" s="294"/>
      <c r="J668" s="294"/>
      <c r="K668" s="294"/>
      <c r="L668" s="294"/>
      <c r="M668" s="294"/>
      <c r="N668" s="294"/>
      <c r="O668" s="294"/>
      <c r="P668" s="294"/>
    </row>
    <row r="669" spans="1:16" ht="15.75" customHeight="1">
      <c r="A669" s="294"/>
      <c r="B669" s="294"/>
      <c r="C669" s="294"/>
      <c r="D669" s="294"/>
      <c r="E669" s="294"/>
      <c r="F669" s="294"/>
      <c r="G669" s="294"/>
      <c r="H669" s="294"/>
      <c r="I669" s="294"/>
      <c r="J669" s="294"/>
      <c r="K669" s="294"/>
      <c r="L669" s="294"/>
      <c r="M669" s="294"/>
      <c r="N669" s="294"/>
      <c r="O669" s="294"/>
      <c r="P669" s="294"/>
    </row>
    <row r="670" spans="1:16" ht="15.75" customHeight="1">
      <c r="A670" s="294"/>
      <c r="B670" s="294"/>
      <c r="C670" s="294"/>
      <c r="D670" s="294"/>
      <c r="E670" s="294"/>
      <c r="F670" s="294"/>
      <c r="G670" s="294"/>
      <c r="H670" s="294"/>
      <c r="I670" s="294"/>
      <c r="J670" s="294"/>
      <c r="K670" s="294"/>
      <c r="L670" s="294"/>
      <c r="M670" s="294"/>
      <c r="N670" s="294"/>
      <c r="O670" s="294"/>
      <c r="P670" s="294"/>
    </row>
    <row r="671" spans="1:16" ht="15.75" customHeight="1">
      <c r="A671" s="294"/>
      <c r="B671" s="294"/>
      <c r="C671" s="294"/>
      <c r="D671" s="294"/>
      <c r="E671" s="294"/>
      <c r="F671" s="294"/>
      <c r="G671" s="294"/>
      <c r="H671" s="294"/>
      <c r="I671" s="294"/>
      <c r="J671" s="294"/>
      <c r="K671" s="294"/>
      <c r="L671" s="294"/>
      <c r="M671" s="294"/>
      <c r="N671" s="294"/>
      <c r="O671" s="294"/>
      <c r="P671" s="294"/>
    </row>
    <row r="672" spans="1:16" ht="15.75" customHeight="1">
      <c r="A672" s="294"/>
      <c r="B672" s="294"/>
      <c r="C672" s="294"/>
      <c r="D672" s="294"/>
      <c r="E672" s="294"/>
      <c r="F672" s="294"/>
      <c r="G672" s="294"/>
      <c r="H672" s="294"/>
      <c r="I672" s="294"/>
      <c r="J672" s="294"/>
      <c r="K672" s="294"/>
      <c r="L672" s="294"/>
      <c r="M672" s="294"/>
      <c r="N672" s="294"/>
      <c r="O672" s="294"/>
      <c r="P672" s="294"/>
    </row>
    <row r="673" spans="1:16" ht="15.75" customHeight="1">
      <c r="A673" s="294"/>
      <c r="B673" s="294"/>
      <c r="C673" s="294"/>
      <c r="D673" s="294"/>
      <c r="E673" s="294"/>
      <c r="F673" s="294"/>
      <c r="G673" s="294"/>
      <c r="H673" s="294"/>
      <c r="I673" s="294"/>
      <c r="J673" s="294"/>
      <c r="K673" s="294"/>
      <c r="L673" s="294"/>
      <c r="M673" s="294"/>
      <c r="N673" s="294"/>
      <c r="O673" s="294"/>
      <c r="P673" s="294"/>
    </row>
    <row r="674" spans="1:16" ht="15.75" customHeight="1">
      <c r="A674" s="294"/>
      <c r="B674" s="294"/>
      <c r="C674" s="294"/>
      <c r="D674" s="294"/>
      <c r="E674" s="294"/>
      <c r="F674" s="294"/>
      <c r="G674" s="294"/>
      <c r="H674" s="294"/>
      <c r="I674" s="294"/>
      <c r="J674" s="294"/>
      <c r="K674" s="294"/>
      <c r="L674" s="294"/>
      <c r="M674" s="294"/>
      <c r="N674" s="294"/>
      <c r="O674" s="294"/>
      <c r="P674" s="294"/>
    </row>
    <row r="675" spans="1:16" ht="15.75" customHeight="1">
      <c r="A675" s="294"/>
      <c r="B675" s="294"/>
      <c r="C675" s="294"/>
      <c r="D675" s="294"/>
      <c r="E675" s="294"/>
      <c r="F675" s="294"/>
      <c r="G675" s="294"/>
      <c r="H675" s="294"/>
      <c r="I675" s="294"/>
      <c r="J675" s="294"/>
      <c r="K675" s="294"/>
      <c r="L675" s="294"/>
      <c r="M675" s="294"/>
      <c r="N675" s="294"/>
      <c r="O675" s="294"/>
      <c r="P675" s="294"/>
    </row>
    <row r="676" spans="1:16" ht="15.75" customHeight="1">
      <c r="A676" s="294"/>
      <c r="B676" s="294"/>
      <c r="C676" s="294"/>
      <c r="D676" s="294"/>
      <c r="E676" s="294"/>
      <c r="F676" s="294"/>
      <c r="G676" s="294"/>
      <c r="H676" s="294"/>
      <c r="I676" s="294"/>
      <c r="J676" s="294"/>
      <c r="K676" s="294"/>
      <c r="L676" s="294"/>
      <c r="M676" s="294"/>
      <c r="N676" s="294"/>
      <c r="O676" s="294"/>
      <c r="P676" s="294"/>
    </row>
    <row r="677" spans="1:16" ht="15.75" customHeight="1">
      <c r="A677" s="294"/>
      <c r="B677" s="294"/>
      <c r="C677" s="294"/>
      <c r="D677" s="294"/>
      <c r="E677" s="294"/>
      <c r="F677" s="294"/>
      <c r="G677" s="294"/>
      <c r="H677" s="294"/>
      <c r="I677" s="294"/>
      <c r="J677" s="294"/>
      <c r="K677" s="294"/>
      <c r="L677" s="294"/>
      <c r="M677" s="294"/>
      <c r="N677" s="294"/>
      <c r="O677" s="294"/>
      <c r="P677" s="294"/>
    </row>
    <row r="678" spans="1:16" ht="15.75" customHeight="1">
      <c r="A678" s="294"/>
      <c r="B678" s="294"/>
      <c r="C678" s="294"/>
      <c r="D678" s="294"/>
      <c r="E678" s="294"/>
      <c r="F678" s="294"/>
      <c r="G678" s="294"/>
      <c r="H678" s="294"/>
      <c r="I678" s="294"/>
      <c r="J678" s="294"/>
      <c r="K678" s="294"/>
      <c r="L678" s="294"/>
      <c r="M678" s="294"/>
      <c r="N678" s="294"/>
      <c r="O678" s="294"/>
      <c r="P678" s="294"/>
    </row>
    <row r="679" spans="1:16" ht="15.75" customHeight="1">
      <c r="A679" s="294"/>
      <c r="B679" s="294"/>
      <c r="C679" s="294"/>
      <c r="D679" s="294"/>
      <c r="E679" s="294"/>
      <c r="F679" s="294"/>
      <c r="G679" s="294"/>
      <c r="H679" s="294"/>
      <c r="I679" s="294"/>
      <c r="J679" s="294"/>
      <c r="K679" s="294"/>
      <c r="L679" s="294"/>
      <c r="M679" s="294"/>
      <c r="N679" s="294"/>
      <c r="O679" s="294"/>
      <c r="P679" s="294"/>
    </row>
    <row r="680" spans="1:16" ht="15.75" customHeight="1">
      <c r="A680" s="294"/>
      <c r="B680" s="294"/>
      <c r="C680" s="294"/>
      <c r="D680" s="294"/>
      <c r="E680" s="294"/>
      <c r="F680" s="294"/>
      <c r="G680" s="294"/>
      <c r="H680" s="294"/>
      <c r="I680" s="294"/>
      <c r="J680" s="294"/>
      <c r="K680" s="294"/>
      <c r="L680" s="294"/>
      <c r="M680" s="294"/>
      <c r="N680" s="294"/>
      <c r="O680" s="294"/>
      <c r="P680" s="294"/>
    </row>
    <row r="681" spans="1:16" ht="15.75" customHeight="1">
      <c r="A681" s="294"/>
      <c r="B681" s="294"/>
      <c r="C681" s="294"/>
      <c r="D681" s="294"/>
      <c r="E681" s="294"/>
      <c r="F681" s="294"/>
      <c r="G681" s="294"/>
      <c r="H681" s="294"/>
      <c r="I681" s="294"/>
      <c r="J681" s="294"/>
      <c r="K681" s="294"/>
      <c r="L681" s="294"/>
      <c r="M681" s="294"/>
      <c r="N681" s="294"/>
      <c r="O681" s="294"/>
      <c r="P681" s="294"/>
    </row>
    <row r="682" spans="1:16" ht="15.75" customHeight="1">
      <c r="A682" s="294"/>
      <c r="B682" s="294"/>
      <c r="C682" s="294"/>
      <c r="D682" s="294"/>
      <c r="E682" s="294"/>
      <c r="F682" s="294"/>
      <c r="G682" s="294"/>
      <c r="H682" s="294"/>
      <c r="I682" s="294"/>
      <c r="J682" s="294"/>
      <c r="K682" s="294"/>
      <c r="L682" s="294"/>
      <c r="M682" s="294"/>
      <c r="N682" s="294"/>
      <c r="O682" s="294"/>
      <c r="P682" s="294"/>
    </row>
    <row r="683" spans="1:16" ht="15.75" customHeight="1">
      <c r="A683" s="294"/>
      <c r="B683" s="294"/>
      <c r="C683" s="294"/>
      <c r="D683" s="294"/>
      <c r="E683" s="294"/>
      <c r="F683" s="294"/>
      <c r="G683" s="294"/>
      <c r="H683" s="294"/>
      <c r="I683" s="294"/>
      <c r="J683" s="294"/>
      <c r="K683" s="294"/>
      <c r="L683" s="294"/>
      <c r="M683" s="294"/>
      <c r="N683" s="294"/>
      <c r="O683" s="294"/>
      <c r="P683" s="294"/>
    </row>
    <row r="684" spans="1:16" ht="15.75" customHeight="1">
      <c r="A684" s="294"/>
      <c r="B684" s="294"/>
      <c r="C684" s="294"/>
      <c r="D684" s="294"/>
      <c r="E684" s="294"/>
      <c r="F684" s="294"/>
      <c r="G684" s="294"/>
      <c r="H684" s="294"/>
      <c r="I684" s="294"/>
      <c r="J684" s="294"/>
      <c r="K684" s="294"/>
      <c r="L684" s="294"/>
      <c r="M684" s="294"/>
      <c r="N684" s="294"/>
      <c r="O684" s="294"/>
      <c r="P684" s="294"/>
    </row>
    <row r="685" spans="1:16" ht="15.75" customHeight="1">
      <c r="A685" s="294"/>
      <c r="B685" s="294"/>
      <c r="C685" s="294"/>
      <c r="D685" s="294"/>
      <c r="E685" s="294"/>
      <c r="F685" s="294"/>
      <c r="G685" s="294"/>
      <c r="H685" s="294"/>
      <c r="I685" s="294"/>
      <c r="J685" s="294"/>
      <c r="K685" s="294"/>
      <c r="L685" s="294"/>
      <c r="M685" s="294"/>
      <c r="N685" s="294"/>
      <c r="O685" s="294"/>
      <c r="P685" s="294"/>
    </row>
    <row r="686" spans="1:16" ht="15.75" customHeight="1">
      <c r="A686" s="294"/>
      <c r="B686" s="294"/>
      <c r="C686" s="294"/>
      <c r="D686" s="294"/>
      <c r="E686" s="294"/>
      <c r="F686" s="294"/>
      <c r="G686" s="294"/>
      <c r="H686" s="294"/>
      <c r="I686" s="294"/>
      <c r="J686" s="294"/>
      <c r="K686" s="294"/>
      <c r="L686" s="294"/>
      <c r="M686" s="294"/>
      <c r="N686" s="294"/>
      <c r="O686" s="294"/>
      <c r="P686" s="294"/>
    </row>
    <row r="687" spans="1:16" ht="15.75" customHeight="1">
      <c r="A687" s="294"/>
      <c r="B687" s="294"/>
      <c r="C687" s="294"/>
      <c r="D687" s="294"/>
      <c r="E687" s="294"/>
      <c r="F687" s="294"/>
      <c r="G687" s="294"/>
      <c r="H687" s="294"/>
      <c r="I687" s="294"/>
      <c r="J687" s="294"/>
      <c r="K687" s="294"/>
      <c r="L687" s="294"/>
      <c r="M687" s="294"/>
      <c r="N687" s="294"/>
      <c r="O687" s="294"/>
      <c r="P687" s="294"/>
    </row>
    <row r="688" spans="1:16" ht="15.75" customHeight="1">
      <c r="A688" s="294"/>
      <c r="B688" s="294"/>
      <c r="C688" s="294"/>
      <c r="D688" s="294"/>
      <c r="E688" s="294"/>
      <c r="F688" s="294"/>
      <c r="G688" s="294"/>
      <c r="H688" s="294"/>
      <c r="I688" s="294"/>
      <c r="J688" s="294"/>
      <c r="K688" s="294"/>
      <c r="L688" s="294"/>
      <c r="M688" s="294"/>
      <c r="N688" s="294"/>
      <c r="O688" s="294"/>
      <c r="P688" s="294"/>
    </row>
    <row r="689" spans="1:16" ht="15.75" customHeight="1">
      <c r="A689" s="294"/>
      <c r="B689" s="294"/>
      <c r="C689" s="294"/>
      <c r="D689" s="294"/>
      <c r="E689" s="294"/>
      <c r="F689" s="294"/>
      <c r="G689" s="294"/>
      <c r="H689" s="294"/>
      <c r="I689" s="294"/>
      <c r="J689" s="294"/>
      <c r="K689" s="294"/>
      <c r="L689" s="294"/>
      <c r="M689" s="294"/>
      <c r="N689" s="294"/>
      <c r="O689" s="294"/>
      <c r="P689" s="294"/>
    </row>
    <row r="690" spans="1:16" ht="15.75" customHeight="1">
      <c r="A690" s="68"/>
      <c r="B690" s="68"/>
      <c r="C690" s="68"/>
      <c r="D690" s="68"/>
      <c r="E690" s="68"/>
      <c r="F690" s="68"/>
      <c r="G690" s="68" t="str">
        <f ca="1">C657</f>
        <v>Av15</v>
      </c>
      <c r="I690" s="68"/>
      <c r="J690" s="68" t="str">
        <f>J657</f>
        <v>Av1</v>
      </c>
      <c r="K690" s="68"/>
      <c r="L690" s="68"/>
      <c r="M690" s="68"/>
      <c r="N690" s="68"/>
      <c r="O690" s="68"/>
      <c r="P690" s="68"/>
    </row>
    <row r="691" spans="1:16" ht="15.75" customHeight="1">
      <c r="A691" s="392" t="s">
        <v>446</v>
      </c>
      <c r="B691" s="294"/>
      <c r="C691" s="294"/>
      <c r="D691" s="294"/>
      <c r="E691" s="294"/>
      <c r="F691" s="294"/>
      <c r="G691" s="294"/>
      <c r="H691" s="294"/>
      <c r="I691" s="294"/>
      <c r="J691" s="294"/>
      <c r="K691" s="294"/>
      <c r="L691" s="294"/>
      <c r="M691" s="294"/>
      <c r="N691" s="294"/>
      <c r="O691" s="294"/>
      <c r="P691" s="294"/>
    </row>
    <row r="692" spans="1:16" ht="15.75" customHeight="1">
      <c r="A692" s="294"/>
      <c r="B692" s="294"/>
      <c r="C692" s="294"/>
      <c r="D692" s="294"/>
      <c r="E692" s="294"/>
      <c r="F692" s="294"/>
      <c r="G692" s="294"/>
      <c r="H692" s="294"/>
      <c r="I692" s="294"/>
      <c r="J692" s="294"/>
      <c r="K692" s="294"/>
      <c r="L692" s="294"/>
      <c r="M692" s="294"/>
      <c r="N692" s="294"/>
      <c r="O692" s="294"/>
      <c r="P692" s="294"/>
    </row>
    <row r="693" spans="1:16" ht="15.75" customHeight="1">
      <c r="A693" s="439" t="s">
        <v>447</v>
      </c>
      <c r="B693" s="319"/>
      <c r="C693" s="319"/>
      <c r="D693" s="319"/>
      <c r="E693" s="66"/>
      <c r="F693" s="318">
        <f ca="1">'Meta calórica'!F42</f>
        <v>1530.441</v>
      </c>
      <c r="G693" s="319"/>
      <c r="H693" s="125"/>
      <c r="I693" s="439" t="s">
        <v>448</v>
      </c>
      <c r="J693" s="319"/>
      <c r="K693" s="319"/>
      <c r="L693" s="319"/>
      <c r="M693" s="66"/>
      <c r="N693" s="318" t="e">
        <f ca="1">'Meta calórica'!N42</f>
        <v>#VALUE!</v>
      </c>
      <c r="O693" s="319"/>
      <c r="P693" s="319"/>
    </row>
    <row r="694" spans="1:16" ht="15.75" customHeight="1">
      <c r="A694" s="294"/>
      <c r="B694" s="294"/>
      <c r="C694" s="294"/>
      <c r="D694" s="294"/>
      <c r="E694" s="42"/>
      <c r="F694" s="294"/>
      <c r="G694" s="294"/>
      <c r="I694" s="294"/>
      <c r="J694" s="294"/>
      <c r="K694" s="294"/>
      <c r="L694" s="294"/>
      <c r="M694" s="42"/>
      <c r="N694" s="294"/>
      <c r="O694" s="294"/>
      <c r="P694" s="294"/>
    </row>
    <row r="695" spans="1:16" ht="15.75" customHeight="1">
      <c r="A695" s="377" t="s">
        <v>449</v>
      </c>
      <c r="B695" s="294"/>
      <c r="C695" s="294"/>
      <c r="D695" s="294"/>
      <c r="E695" s="42"/>
      <c r="F695" s="315">
        <f ca="1">'Meta calórica'!F44</f>
        <v>1630</v>
      </c>
      <c r="G695" s="294"/>
      <c r="I695" s="294"/>
      <c r="J695" s="294"/>
      <c r="K695" s="294"/>
      <c r="L695" s="294"/>
      <c r="M695" s="42"/>
      <c r="N695" s="294"/>
      <c r="O695" s="294"/>
      <c r="P695" s="294"/>
    </row>
    <row r="696" spans="1:16" ht="15.75" customHeight="1">
      <c r="A696" s="317"/>
      <c r="B696" s="317"/>
      <c r="C696" s="317"/>
      <c r="D696" s="317"/>
      <c r="E696" s="54"/>
      <c r="F696" s="317"/>
      <c r="G696" s="317"/>
      <c r="H696" s="54"/>
      <c r="I696" s="317"/>
      <c r="J696" s="317"/>
      <c r="K696" s="317"/>
      <c r="L696" s="317"/>
      <c r="M696" s="54"/>
      <c r="N696" s="317"/>
      <c r="O696" s="317"/>
      <c r="P696" s="317"/>
    </row>
    <row r="697" spans="1:16" ht="15.75" customHeight="1">
      <c r="F697" s="42"/>
      <c r="G697" s="42"/>
      <c r="H697" s="42"/>
      <c r="I697" s="42"/>
      <c r="J697" s="42"/>
      <c r="K697" s="42"/>
      <c r="L697" s="42"/>
      <c r="M697" s="42"/>
      <c r="N697" s="42"/>
      <c r="O697" s="42"/>
      <c r="P697" s="42"/>
    </row>
    <row r="698" spans="1:16" ht="15.75" customHeight="1">
      <c r="D698" s="42"/>
      <c r="E698" s="42"/>
      <c r="F698" s="42"/>
      <c r="G698" s="42"/>
      <c r="H698" s="42"/>
      <c r="I698" s="42"/>
      <c r="J698" s="42"/>
      <c r="K698" s="42"/>
      <c r="L698" s="42"/>
      <c r="M698" s="42"/>
      <c r="N698" s="42"/>
      <c r="O698" s="42"/>
      <c r="P698" s="42"/>
    </row>
    <row r="699" spans="1:16" ht="15.75" customHeight="1">
      <c r="A699" s="351" t="s">
        <v>226</v>
      </c>
      <c r="B699" s="324"/>
      <c r="C699" s="324"/>
      <c r="D699" s="324"/>
      <c r="E699" s="59"/>
      <c r="F699" s="59"/>
      <c r="G699" s="326" t="s">
        <v>227</v>
      </c>
      <c r="H699" s="324"/>
      <c r="I699" s="59"/>
      <c r="J699" s="59"/>
      <c r="K699" s="326" t="s">
        <v>228</v>
      </c>
      <c r="L699" s="324"/>
      <c r="M699" s="59"/>
      <c r="N699" s="59"/>
      <c r="O699" s="326" t="s">
        <v>229</v>
      </c>
      <c r="P699" s="324"/>
    </row>
    <row r="700" spans="1:16" ht="15.75" customHeight="1">
      <c r="A700" s="352" t="s">
        <v>230</v>
      </c>
      <c r="B700" s="294"/>
      <c r="C700" s="294"/>
      <c r="D700" s="294"/>
      <c r="E700" s="133"/>
      <c r="F700" s="42"/>
      <c r="G700" s="369">
        <f ca="1">'Meta calórica'!G49</f>
        <v>1372</v>
      </c>
      <c r="H700" s="294"/>
      <c r="I700" s="42"/>
      <c r="J700" s="42"/>
      <c r="K700" s="369">
        <f ca="1">'Meta calórica'!K49</f>
        <v>1714.9999999999998</v>
      </c>
      <c r="L700" s="294"/>
      <c r="M700" s="74"/>
      <c r="N700" s="74"/>
      <c r="O700" s="369">
        <f ca="1">'Meta calórica'!O49</f>
        <v>1543.5</v>
      </c>
      <c r="P700" s="294"/>
    </row>
    <row r="701" spans="1:16" ht="15.75" customHeight="1">
      <c r="A701" s="352" t="s">
        <v>231</v>
      </c>
      <c r="B701" s="294"/>
      <c r="C701" s="294"/>
      <c r="D701" s="294"/>
      <c r="E701" s="42"/>
      <c r="F701" s="42"/>
      <c r="G701" s="369">
        <f ca="1">'Meta calórica'!G50</f>
        <v>1714.9999999999998</v>
      </c>
      <c r="H701" s="294"/>
      <c r="I701" s="42"/>
      <c r="J701" s="42"/>
      <c r="K701" s="440">
        <f ca="1">'Meta calórica'!K50</f>
        <v>2058</v>
      </c>
      <c r="L701" s="294"/>
      <c r="M701" s="74"/>
      <c r="N701" s="74"/>
      <c r="O701" s="440">
        <f ca="1">'Meta calórica'!O50</f>
        <v>1886.5</v>
      </c>
      <c r="P701" s="294"/>
    </row>
    <row r="702" spans="1:16" ht="15.75" customHeight="1">
      <c r="A702" s="360" t="s">
        <v>232</v>
      </c>
      <c r="B702" s="317"/>
      <c r="C702" s="317"/>
      <c r="D702" s="317"/>
      <c r="E702" s="54"/>
      <c r="F702" s="54"/>
      <c r="G702" s="370">
        <f ca="1">'Meta calórica'!G51</f>
        <v>2058</v>
      </c>
      <c r="H702" s="317"/>
      <c r="I702" s="54"/>
      <c r="J702" s="54"/>
      <c r="K702" s="441">
        <f ca="1">'Meta calórica'!K51</f>
        <v>2401</v>
      </c>
      <c r="L702" s="317"/>
      <c r="M702" s="57"/>
      <c r="N702" s="57"/>
      <c r="O702" s="441">
        <f ca="1">'Meta calórica'!O51</f>
        <v>2229.5</v>
      </c>
      <c r="P702" s="317"/>
    </row>
    <row r="703" spans="1:16" ht="15.75" customHeight="1">
      <c r="A703" s="42"/>
      <c r="B703" s="42"/>
      <c r="C703" s="42"/>
      <c r="D703" s="42"/>
      <c r="E703" s="42"/>
      <c r="F703" s="42"/>
      <c r="G703" s="42"/>
      <c r="H703" s="42"/>
      <c r="I703" s="42"/>
      <c r="J703" s="42"/>
      <c r="K703" s="42"/>
      <c r="L703" s="42"/>
      <c r="M703" s="42"/>
      <c r="N703" s="42"/>
      <c r="O703" s="42"/>
      <c r="P703" s="42"/>
    </row>
    <row r="704" spans="1:16" ht="15.75" customHeight="1">
      <c r="A704" s="442" t="s">
        <v>233</v>
      </c>
      <c r="B704" s="324"/>
      <c r="C704" s="344" t="s">
        <v>234</v>
      </c>
      <c r="D704" s="324"/>
      <c r="E704" s="344" t="s">
        <v>235</v>
      </c>
      <c r="F704" s="324"/>
      <c r="G704" s="344" t="s">
        <v>236</v>
      </c>
      <c r="H704" s="324"/>
      <c r="I704" s="344" t="s">
        <v>237</v>
      </c>
      <c r="J704" s="324"/>
      <c r="K704" s="344" t="s">
        <v>238</v>
      </c>
      <c r="L704" s="324"/>
      <c r="M704" s="344" t="s">
        <v>239</v>
      </c>
      <c r="N704" s="324"/>
      <c r="O704" s="344" t="s">
        <v>240</v>
      </c>
      <c r="P704" s="324"/>
    </row>
    <row r="705" spans="1:16" ht="15.75" customHeight="1">
      <c r="A705" s="372" t="s">
        <v>241</v>
      </c>
      <c r="B705" s="294"/>
      <c r="C705" s="367" t="e">
        <f ca="1">'Meta calórica'!C54</f>
        <v>#VALUE!</v>
      </c>
      <c r="D705" s="294"/>
      <c r="E705" s="367" t="e">
        <f ca="1">'Meta calórica'!E54</f>
        <v>#VALUE!</v>
      </c>
      <c r="F705" s="294"/>
      <c r="G705" s="367" t="e">
        <f ca="1">'Meta calórica'!G54</f>
        <v>#VALUE!</v>
      </c>
      <c r="H705" s="294"/>
      <c r="I705" s="367" t="e">
        <f ca="1">'Meta calórica'!I54</f>
        <v>#VALUE!</v>
      </c>
      <c r="J705" s="294"/>
      <c r="K705" s="367" t="e">
        <f ca="1">'Meta calórica'!K54</f>
        <v>#VALUE!</v>
      </c>
      <c r="L705" s="294"/>
      <c r="M705" s="367" t="e">
        <f ca="1">'Meta calórica'!M54</f>
        <v>#VALUE!</v>
      </c>
      <c r="N705" s="294"/>
      <c r="O705" s="367" t="e">
        <f ca="1">'Meta calórica'!O54</f>
        <v>#VALUE!</v>
      </c>
      <c r="P705" s="294"/>
    </row>
    <row r="706" spans="1:16" ht="15.75" customHeight="1">
      <c r="A706" s="373" t="s">
        <v>242</v>
      </c>
      <c r="B706" s="294"/>
      <c r="C706" s="315">
        <f ca="1">'Meta calórica'!C55</f>
        <v>270.11250000000007</v>
      </c>
      <c r="D706" s="294"/>
      <c r="E706" s="315">
        <f ca="1">'Meta calórica'!E55</f>
        <v>705.60588000000007</v>
      </c>
      <c r="F706" s="294"/>
      <c r="G706" s="315">
        <f ca="1">'Meta calórica'!G55</f>
        <v>1741.97352</v>
      </c>
      <c r="H706" s="294"/>
      <c r="I706" s="315">
        <f ca="1">'Meta calórica'!I55</f>
        <v>270.11250000000007</v>
      </c>
      <c r="J706" s="294"/>
      <c r="K706" s="315">
        <f ca="1">'Meta calórica'!K55</f>
        <v>270.11250000000007</v>
      </c>
      <c r="L706" s="294"/>
      <c r="M706" s="315">
        <f ca="1">'Meta calórica'!M55</f>
        <v>0</v>
      </c>
      <c r="N706" s="294"/>
      <c r="O706" s="315">
        <f ca="1">'Meta calórica'!O55</f>
        <v>1741.97352</v>
      </c>
      <c r="P706" s="294"/>
    </row>
    <row r="707" spans="1:16" ht="15.75" customHeight="1">
      <c r="A707" s="294"/>
      <c r="B707" s="294"/>
      <c r="C707" s="294"/>
      <c r="D707" s="294"/>
      <c r="E707" s="294"/>
      <c r="F707" s="294"/>
      <c r="G707" s="294"/>
      <c r="H707" s="294"/>
      <c r="I707" s="294"/>
      <c r="J707" s="294"/>
      <c r="K707" s="294"/>
      <c r="L707" s="294"/>
      <c r="M707" s="294"/>
      <c r="N707" s="294"/>
      <c r="O707" s="294"/>
      <c r="P707" s="294"/>
    </row>
    <row r="708" spans="1:16" ht="15.75" customHeight="1">
      <c r="A708" s="294"/>
      <c r="B708" s="294"/>
      <c r="C708" s="294"/>
      <c r="D708" s="294"/>
      <c r="E708" s="294"/>
      <c r="F708" s="294"/>
      <c r="G708" s="294"/>
      <c r="H708" s="294"/>
      <c r="I708" s="294"/>
      <c r="J708" s="294"/>
      <c r="K708" s="294"/>
      <c r="L708" s="294"/>
      <c r="M708" s="294"/>
      <c r="N708" s="294"/>
      <c r="O708" s="294"/>
      <c r="P708" s="294"/>
    </row>
    <row r="709" spans="1:16" ht="15.75" customHeight="1">
      <c r="A709" s="373" t="s">
        <v>243</v>
      </c>
      <c r="B709" s="294"/>
      <c r="C709" s="315">
        <f>'Meta calórica'!C58</f>
        <v>0</v>
      </c>
      <c r="D709" s="294"/>
      <c r="E709" s="315">
        <f>'Meta calórica'!E58</f>
        <v>0</v>
      </c>
      <c r="F709" s="294"/>
      <c r="G709" s="315">
        <f>'Meta calórica'!G58</f>
        <v>0</v>
      </c>
      <c r="H709" s="294"/>
      <c r="I709" s="315">
        <f>'Meta calórica'!I58</f>
        <v>0</v>
      </c>
      <c r="J709" s="294"/>
      <c r="K709" s="315">
        <f>'Meta calórica'!K58</f>
        <v>0</v>
      </c>
      <c r="L709" s="294"/>
      <c r="M709" s="315">
        <f>'Meta calórica'!M58</f>
        <v>0</v>
      </c>
      <c r="N709" s="294"/>
      <c r="O709" s="315">
        <f>'Meta calórica'!O58</f>
        <v>0</v>
      </c>
      <c r="P709" s="294"/>
    </row>
    <row r="710" spans="1:16" ht="15.75" customHeight="1">
      <c r="A710" s="294"/>
      <c r="B710" s="294"/>
      <c r="C710" s="294"/>
      <c r="D710" s="294"/>
      <c r="E710" s="294"/>
      <c r="F710" s="294"/>
      <c r="G710" s="294"/>
      <c r="H710" s="294"/>
      <c r="I710" s="294"/>
      <c r="J710" s="294"/>
      <c r="K710" s="294"/>
      <c r="L710" s="294"/>
      <c r="M710" s="294"/>
      <c r="N710" s="294"/>
      <c r="O710" s="294"/>
      <c r="P710" s="294"/>
    </row>
    <row r="711" spans="1:16" ht="15.75" customHeight="1">
      <c r="A711" s="373" t="s">
        <v>244</v>
      </c>
      <c r="B711" s="294"/>
      <c r="C711" s="367" t="e">
        <f ca="1">'Meta calórica'!C60</f>
        <v>#VALUE!</v>
      </c>
      <c r="D711" s="294"/>
      <c r="E711" s="367" t="e">
        <f ca="1">'Meta calórica'!E60</f>
        <v>#VALUE!</v>
      </c>
      <c r="F711" s="294"/>
      <c r="G711" s="367" t="e">
        <f ca="1">'Meta calórica'!G60</f>
        <v>#VALUE!</v>
      </c>
      <c r="H711" s="294"/>
      <c r="I711" s="367" t="e">
        <f ca="1">'Meta calórica'!I60</f>
        <v>#VALUE!</v>
      </c>
      <c r="J711" s="294"/>
      <c r="K711" s="367" t="e">
        <f ca="1">'Meta calórica'!K60</f>
        <v>#VALUE!</v>
      </c>
      <c r="L711" s="294"/>
      <c r="M711" s="367" t="e">
        <f ca="1">'Meta calórica'!M60</f>
        <v>#VALUE!</v>
      </c>
      <c r="N711" s="294"/>
      <c r="O711" s="367" t="e">
        <f ca="1">'Meta calórica'!O60</f>
        <v>#VALUE!</v>
      </c>
      <c r="P711" s="294"/>
    </row>
    <row r="712" spans="1:16" ht="15.75" customHeight="1">
      <c r="A712" s="317"/>
      <c r="B712" s="317"/>
      <c r="C712" s="317"/>
      <c r="D712" s="317"/>
      <c r="E712" s="317"/>
      <c r="F712" s="317"/>
      <c r="G712" s="317"/>
      <c r="H712" s="317"/>
      <c r="I712" s="317"/>
      <c r="J712" s="317"/>
      <c r="K712" s="317"/>
      <c r="L712" s="317"/>
      <c r="M712" s="317"/>
      <c r="N712" s="317"/>
      <c r="O712" s="317"/>
      <c r="P712" s="317"/>
    </row>
    <row r="713" spans="1:16" ht="15.75" customHeight="1">
      <c r="A713" s="134"/>
      <c r="B713" s="134"/>
    </row>
    <row r="714" spans="1:16" ht="15.75" customHeight="1">
      <c r="A714" s="442"/>
      <c r="B714" s="324"/>
      <c r="C714" s="324"/>
      <c r="D714" s="59"/>
      <c r="E714" s="59"/>
      <c r="F714" s="59"/>
      <c r="G714" s="59"/>
      <c r="H714" s="326" t="s">
        <v>245</v>
      </c>
      <c r="I714" s="324"/>
      <c r="J714" s="324"/>
      <c r="K714" s="59"/>
      <c r="L714" s="59"/>
      <c r="M714" s="326" t="s">
        <v>246</v>
      </c>
      <c r="N714" s="324"/>
      <c r="O714" s="324"/>
      <c r="P714" s="59"/>
    </row>
    <row r="715" spans="1:16" ht="15.75" customHeight="1">
      <c r="A715" s="443" t="s">
        <v>241</v>
      </c>
      <c r="B715" s="294"/>
      <c r="C715" s="294"/>
      <c r="D715" s="42"/>
      <c r="H715" s="315" t="e">
        <f ca="1">'Meta calórica'!H64</f>
        <v>#VALUE!</v>
      </c>
      <c r="I715" s="294"/>
      <c r="J715" s="294"/>
      <c r="K715" s="12"/>
      <c r="L715" s="12"/>
      <c r="M715" s="315" t="e">
        <f ca="1">'Meta calórica'!M64</f>
        <v>#VALUE!</v>
      </c>
      <c r="N715" s="294"/>
      <c r="O715" s="294"/>
    </row>
    <row r="716" spans="1:16" ht="15.75" customHeight="1">
      <c r="A716" s="328" t="s">
        <v>242</v>
      </c>
      <c r="B716" s="294"/>
      <c r="C716" s="294"/>
      <c r="D716" s="294"/>
      <c r="E716" s="294"/>
      <c r="F716" s="294"/>
      <c r="H716" s="315">
        <f ca="1">'Meta calórica'!H65</f>
        <v>4999.8904200000006</v>
      </c>
      <c r="I716" s="294"/>
      <c r="J716" s="294"/>
      <c r="K716" s="12"/>
      <c r="L716" s="12"/>
      <c r="M716" s="315">
        <f ca="1">'Meta calórica'!M65</f>
        <v>714.27006000000006</v>
      </c>
      <c r="N716" s="294"/>
      <c r="O716" s="294"/>
    </row>
    <row r="717" spans="1:16" ht="15.75" customHeight="1">
      <c r="A717" s="426" t="s">
        <v>244</v>
      </c>
      <c r="B717" s="317"/>
      <c r="C717" s="317"/>
      <c r="D717" s="317"/>
      <c r="E717" s="317"/>
      <c r="F717" s="317"/>
      <c r="G717" s="126"/>
      <c r="H717" s="316" t="e">
        <f ca="1">'Meta calórica'!H66</f>
        <v>#VALUE!</v>
      </c>
      <c r="I717" s="317"/>
      <c r="J717" s="317"/>
      <c r="K717" s="135"/>
      <c r="L717" s="135"/>
      <c r="M717" s="316" t="e">
        <f ca="1">'Meta calórica'!M66</f>
        <v>#VALUE!</v>
      </c>
      <c r="N717" s="317"/>
      <c r="O717" s="317"/>
      <c r="P717" s="126"/>
    </row>
    <row r="718" spans="1:16" ht="15.75" customHeight="1">
      <c r="A718" s="444" t="s">
        <v>247</v>
      </c>
      <c r="B718" s="294"/>
      <c r="C718" s="294"/>
      <c r="D718" s="294"/>
      <c r="E718" s="294"/>
      <c r="F718" s="294"/>
      <c r="H718" s="315">
        <f ca="1">'Meta calórica'!H67</f>
        <v>18295.62</v>
      </c>
      <c r="I718" s="294"/>
      <c r="J718" s="294"/>
      <c r="K718" s="49"/>
      <c r="L718" s="49"/>
      <c r="M718" s="315">
        <f ca="1">'Meta calórica'!M67</f>
        <v>2613.66</v>
      </c>
      <c r="N718" s="294"/>
      <c r="O718" s="294"/>
      <c r="P718" s="42"/>
    </row>
    <row r="719" spans="1:16" ht="15.75" customHeight="1">
      <c r="A719" s="425" t="s">
        <v>248</v>
      </c>
      <c r="B719" s="319"/>
      <c r="C719" s="319"/>
      <c r="D719" s="319"/>
      <c r="E719" s="319"/>
      <c r="F719" s="319"/>
      <c r="G719" s="125"/>
      <c r="H719" s="318" t="e">
        <f ca="1">'Meta calórica'!H68</f>
        <v>#VALUE!</v>
      </c>
      <c r="I719" s="319"/>
      <c r="J719" s="319"/>
      <c r="K719" s="66"/>
      <c r="L719" s="66"/>
      <c r="M719" s="318" t="e">
        <f ca="1">'Meta calórica'!M68</f>
        <v>#VALUE!</v>
      </c>
      <c r="N719" s="319"/>
      <c r="O719" s="319"/>
      <c r="P719" s="66"/>
    </row>
    <row r="720" spans="1:16" ht="15.75" customHeight="1">
      <c r="A720" s="426" t="s">
        <v>249</v>
      </c>
      <c r="B720" s="317"/>
      <c r="C720" s="317"/>
      <c r="D720" s="317"/>
      <c r="E720" s="317"/>
      <c r="F720" s="317"/>
      <c r="G720" s="126"/>
      <c r="H720" s="427" t="e">
        <f ca="1">'Meta calórica'!H69</f>
        <v>#VALUE!</v>
      </c>
      <c r="I720" s="317"/>
      <c r="J720" s="317"/>
      <c r="K720" s="136"/>
      <c r="L720" s="136"/>
      <c r="M720" s="427" t="e">
        <f ca="1">'Meta calórica'!M69</f>
        <v>#VALUE!</v>
      </c>
      <c r="N720" s="317"/>
      <c r="O720" s="317"/>
      <c r="P720" s="126"/>
    </row>
    <row r="722" spans="1:16" ht="15.75" customHeight="1">
      <c r="A722" s="68"/>
      <c r="B722" s="68"/>
      <c r="C722" s="68"/>
      <c r="D722" s="68"/>
      <c r="E722" s="68"/>
      <c r="F722" s="68"/>
      <c r="G722" s="68"/>
      <c r="H722" s="68"/>
      <c r="I722" s="68"/>
      <c r="J722" s="68"/>
      <c r="K722" s="68"/>
      <c r="L722" s="68"/>
      <c r="M722" s="68"/>
      <c r="N722" s="68"/>
      <c r="O722" s="68"/>
      <c r="P722" s="68"/>
    </row>
    <row r="723" spans="1:16" ht="15.75" customHeight="1">
      <c r="A723" s="323" t="s">
        <v>250</v>
      </c>
      <c r="B723" s="324"/>
      <c r="C723" s="324"/>
      <c r="D723" s="324"/>
      <c r="E723" s="324"/>
      <c r="F723" s="324"/>
      <c r="G723" s="324"/>
      <c r="H723" s="324"/>
      <c r="I723" s="324"/>
      <c r="J723" s="324"/>
      <c r="K723" s="324"/>
      <c r="L723" s="324"/>
      <c r="M723" s="324"/>
      <c r="N723" s="324"/>
      <c r="O723" s="324"/>
      <c r="P723" s="324"/>
    </row>
    <row r="724" spans="1:16" ht="15.75" customHeight="1">
      <c r="A724" s="313" t="s">
        <v>251</v>
      </c>
      <c r="B724" s="294"/>
      <c r="C724" s="68"/>
      <c r="D724" s="313" t="s">
        <v>252</v>
      </c>
      <c r="E724" s="294"/>
      <c r="F724" s="294"/>
      <c r="G724" s="70"/>
      <c r="H724" s="313" t="s">
        <v>253</v>
      </c>
      <c r="I724" s="294"/>
      <c r="J724" s="294"/>
      <c r="K724" s="70"/>
      <c r="L724" s="321" t="s">
        <v>254</v>
      </c>
      <c r="M724" s="294"/>
      <c r="N724" s="70"/>
      <c r="O724" s="313" t="s">
        <v>255</v>
      </c>
      <c r="P724" s="294"/>
    </row>
    <row r="725" spans="1:16" ht="15.75" customHeight="1">
      <c r="A725" s="294"/>
      <c r="B725" s="294"/>
      <c r="D725" s="294"/>
      <c r="E725" s="294"/>
      <c r="F725" s="294"/>
      <c r="H725" s="294"/>
      <c r="I725" s="294"/>
      <c r="J725" s="294"/>
      <c r="L725" s="294"/>
      <c r="M725" s="294"/>
      <c r="O725" s="294"/>
      <c r="P725" s="294"/>
    </row>
    <row r="726" spans="1:16" ht="15.75" customHeight="1">
      <c r="A726" s="331" t="s">
        <v>234</v>
      </c>
      <c r="B726" s="294"/>
      <c r="C726" s="68"/>
      <c r="D726" s="331">
        <f>'Meta calórica'!D75</f>
        <v>45</v>
      </c>
      <c r="E726" s="294"/>
      <c r="F726" s="294"/>
      <c r="G726" s="68"/>
      <c r="H726" s="331">
        <f>'Meta calórica'!H75</f>
        <v>0</v>
      </c>
      <c r="I726" s="294"/>
      <c r="J726" s="294"/>
      <c r="K726" s="68"/>
      <c r="L726" s="428">
        <f>'Meta calórica'!L75</f>
        <v>0</v>
      </c>
      <c r="M726" s="294"/>
      <c r="N726" s="68"/>
      <c r="O726" s="329">
        <f ca="1">'Meta calórica'!O75</f>
        <v>270.11250000000007</v>
      </c>
      <c r="P726" s="294"/>
    </row>
    <row r="727" spans="1:16" ht="15.75" customHeight="1">
      <c r="A727" s="331" t="s">
        <v>235</v>
      </c>
      <c r="B727" s="294"/>
      <c r="C727" s="68"/>
      <c r="D727" s="331">
        <f>'Meta calórica'!D76</f>
        <v>45</v>
      </c>
      <c r="E727" s="294"/>
      <c r="F727" s="294"/>
      <c r="G727" s="68"/>
      <c r="H727" s="331">
        <f>'Meta calórica'!H76</f>
        <v>30</v>
      </c>
      <c r="I727" s="294"/>
      <c r="J727" s="294"/>
      <c r="K727" s="68"/>
      <c r="L727" s="428">
        <f>'Meta calórica'!L76</f>
        <v>0.7</v>
      </c>
      <c r="M727" s="294"/>
      <c r="N727" s="68"/>
      <c r="O727" s="329">
        <f ca="1">'Meta calórica'!O76</f>
        <v>705.60588000000007</v>
      </c>
      <c r="P727" s="294"/>
    </row>
    <row r="728" spans="1:16" ht="15.75" customHeight="1">
      <c r="A728" s="331" t="s">
        <v>236</v>
      </c>
      <c r="B728" s="294"/>
      <c r="C728" s="68"/>
      <c r="D728" s="331">
        <f>'Meta calórica'!D77</f>
        <v>0</v>
      </c>
      <c r="E728" s="294"/>
      <c r="F728" s="294"/>
      <c r="G728" s="68"/>
      <c r="H728" s="331">
        <f>'Meta calórica'!H77</f>
        <v>120</v>
      </c>
      <c r="I728" s="294"/>
      <c r="J728" s="294"/>
      <c r="K728" s="68"/>
      <c r="L728" s="428">
        <f>'Meta calórica'!L77</f>
        <v>0.7</v>
      </c>
      <c r="M728" s="294"/>
      <c r="N728" s="68"/>
      <c r="O728" s="329">
        <f ca="1">'Meta calórica'!O77</f>
        <v>1741.97352</v>
      </c>
      <c r="P728" s="294"/>
    </row>
    <row r="729" spans="1:16" ht="15.75" customHeight="1">
      <c r="A729" s="331" t="s">
        <v>237</v>
      </c>
      <c r="B729" s="294"/>
      <c r="C729" s="68"/>
      <c r="D729" s="331">
        <f>'Meta calórica'!D78</f>
        <v>45</v>
      </c>
      <c r="E729" s="294"/>
      <c r="F729" s="294"/>
      <c r="G729" s="68"/>
      <c r="H729" s="331">
        <f>'Meta calórica'!H78</f>
        <v>0</v>
      </c>
      <c r="I729" s="294"/>
      <c r="J729" s="294"/>
      <c r="K729" s="68"/>
      <c r="L729" s="428">
        <f>'Meta calórica'!L78</f>
        <v>0</v>
      </c>
      <c r="M729" s="294"/>
      <c r="N729" s="68"/>
      <c r="O729" s="329">
        <f ca="1">'Meta calórica'!O78</f>
        <v>270.11250000000007</v>
      </c>
      <c r="P729" s="294"/>
    </row>
    <row r="730" spans="1:16" ht="15.75" customHeight="1">
      <c r="A730" s="331" t="s">
        <v>238</v>
      </c>
      <c r="B730" s="294"/>
      <c r="C730" s="68"/>
      <c r="D730" s="331">
        <f>'Meta calórica'!D79</f>
        <v>45</v>
      </c>
      <c r="E730" s="294"/>
      <c r="F730" s="294"/>
      <c r="G730" s="68"/>
      <c r="H730" s="331">
        <f>'Meta calórica'!H79</f>
        <v>0</v>
      </c>
      <c r="I730" s="294"/>
      <c r="J730" s="294"/>
      <c r="K730" s="68"/>
      <c r="L730" s="428">
        <f>'Meta calórica'!L79</f>
        <v>0</v>
      </c>
      <c r="M730" s="294"/>
      <c r="N730" s="68"/>
      <c r="O730" s="329">
        <f ca="1">'Meta calórica'!O79</f>
        <v>270.11250000000007</v>
      </c>
      <c r="P730" s="294"/>
    </row>
    <row r="731" spans="1:16" ht="15.75" customHeight="1">
      <c r="A731" s="331" t="s">
        <v>239</v>
      </c>
      <c r="B731" s="294"/>
      <c r="C731" s="68"/>
      <c r="D731" s="331">
        <f>'Meta calórica'!D80</f>
        <v>0</v>
      </c>
      <c r="E731" s="294"/>
      <c r="F731" s="294"/>
      <c r="G731" s="68"/>
      <c r="H731" s="331">
        <f>'Meta calórica'!H80</f>
        <v>0</v>
      </c>
      <c r="I731" s="294"/>
      <c r="J731" s="294"/>
      <c r="K731" s="68"/>
      <c r="L731" s="428">
        <f>'Meta calórica'!L80</f>
        <v>0</v>
      </c>
      <c r="M731" s="294"/>
      <c r="N731" s="68"/>
      <c r="O731" s="329">
        <f ca="1">'Meta calórica'!O80</f>
        <v>0</v>
      </c>
      <c r="P731" s="294"/>
    </row>
    <row r="732" spans="1:16" ht="15.75" customHeight="1">
      <c r="A732" s="332" t="s">
        <v>240</v>
      </c>
      <c r="B732" s="317"/>
      <c r="C732" s="71"/>
      <c r="D732" s="332">
        <f>'Meta calórica'!D81</f>
        <v>0</v>
      </c>
      <c r="E732" s="317"/>
      <c r="F732" s="317"/>
      <c r="G732" s="71"/>
      <c r="H732" s="332">
        <f>'Meta calórica'!H81</f>
        <v>120</v>
      </c>
      <c r="I732" s="317"/>
      <c r="J732" s="317"/>
      <c r="K732" s="71"/>
      <c r="L732" s="445">
        <f>'Meta calórica'!L81</f>
        <v>0.7</v>
      </c>
      <c r="M732" s="317"/>
      <c r="N732" s="71"/>
      <c r="O732" s="330">
        <f ca="1">'Meta calórica'!O81</f>
        <v>1741.97352</v>
      </c>
      <c r="P732" s="317"/>
    </row>
    <row r="733" spans="1:16" ht="15.75" customHeight="1">
      <c r="A733" s="307" t="s">
        <v>256</v>
      </c>
      <c r="B733" s="294"/>
      <c r="C733" s="331">
        <f ca="1">'Meta calórica'!C82</f>
        <v>60.46</v>
      </c>
      <c r="D733" s="294"/>
      <c r="E733" s="336" t="s">
        <v>257</v>
      </c>
      <c r="F733" s="294"/>
      <c r="G733" s="68"/>
      <c r="H733" s="68"/>
      <c r="I733" s="68"/>
      <c r="J733" s="68"/>
      <c r="K733" s="68"/>
      <c r="L733" s="68"/>
      <c r="M733" s="68"/>
      <c r="N733" s="68"/>
      <c r="O733" s="68"/>
      <c r="P733" s="68"/>
    </row>
    <row r="734" spans="1:16" ht="15.75" customHeight="1">
      <c r="A734" s="392" t="s">
        <v>450</v>
      </c>
      <c r="B734" s="294"/>
      <c r="C734" s="294"/>
      <c r="D734" s="294"/>
      <c r="E734" s="294"/>
      <c r="F734" s="294"/>
      <c r="G734" s="294"/>
      <c r="H734" s="294"/>
      <c r="I734" s="294"/>
      <c r="J734" s="294"/>
      <c r="K734" s="294"/>
      <c r="L734" s="294"/>
      <c r="M734" s="294"/>
      <c r="N734" s="294"/>
      <c r="O734" s="294"/>
      <c r="P734" s="294"/>
    </row>
    <row r="735" spans="1:16" ht="15.75" customHeight="1">
      <c r="A735" s="294"/>
      <c r="B735" s="294"/>
      <c r="C735" s="294"/>
      <c r="D735" s="294"/>
      <c r="E735" s="294"/>
      <c r="F735" s="294"/>
      <c r="G735" s="294"/>
      <c r="H735" s="294"/>
      <c r="I735" s="294"/>
      <c r="J735" s="294"/>
      <c r="K735" s="294"/>
      <c r="L735" s="294"/>
      <c r="M735" s="294"/>
      <c r="N735" s="294"/>
      <c r="O735" s="294"/>
      <c r="P735" s="294"/>
    </row>
    <row r="736" spans="1:16" ht="15.75" customHeight="1">
      <c r="A736" s="351" t="s">
        <v>259</v>
      </c>
      <c r="B736" s="324"/>
      <c r="C736" s="324"/>
      <c r="D736" s="324"/>
      <c r="E736" s="324"/>
      <c r="F736" s="324"/>
      <c r="G736" s="324"/>
      <c r="I736" s="424" t="s">
        <v>260</v>
      </c>
      <c r="J736" s="324"/>
      <c r="K736" s="324"/>
      <c r="L736" s="60" t="s">
        <v>261</v>
      </c>
      <c r="M736" s="60" t="s">
        <v>262</v>
      </c>
      <c r="N736" s="326" t="s">
        <v>263</v>
      </c>
      <c r="O736" s="324"/>
      <c r="P736" s="60" t="s">
        <v>264</v>
      </c>
    </row>
    <row r="737" spans="1:16" ht="15.75" customHeight="1">
      <c r="A737" s="339" t="s">
        <v>265</v>
      </c>
      <c r="B737" s="294"/>
      <c r="C737" s="294"/>
      <c r="D737" s="294"/>
      <c r="E737" s="315">
        <f>'Meta calórica'!E85</f>
        <v>15.7</v>
      </c>
      <c r="F737" s="294"/>
      <c r="G737" s="294"/>
      <c r="I737" s="339" t="s">
        <v>266</v>
      </c>
      <c r="J737" s="294"/>
      <c r="K737" s="294"/>
      <c r="L737" s="137">
        <f>'Meta calórica'!L85</f>
        <v>2</v>
      </c>
      <c r="M737" s="49">
        <f ca="1">'Meta calórica'!M85</f>
        <v>137.19999999999999</v>
      </c>
      <c r="N737" s="315">
        <f ca="1">'Meta calórica'!N85</f>
        <v>548.79999999999995</v>
      </c>
      <c r="O737" s="294"/>
      <c r="P737" s="49">
        <f ca="1">'Meta calórica'!P85</f>
        <v>20.99737532808399</v>
      </c>
    </row>
    <row r="738" spans="1:16" ht="15.75" customHeight="1">
      <c r="A738" s="294"/>
      <c r="B738" s="294"/>
      <c r="C738" s="294"/>
      <c r="D738" s="294"/>
      <c r="E738" s="294"/>
      <c r="F738" s="294"/>
      <c r="G738" s="294"/>
      <c r="I738" s="339" t="s">
        <v>267</v>
      </c>
      <c r="J738" s="294"/>
      <c r="K738" s="294"/>
      <c r="L738" s="137">
        <f>'Meta calórica'!L86</f>
        <v>5.5</v>
      </c>
      <c r="M738" s="49">
        <f ca="1">'Meta calórica'!M86</f>
        <v>377.29999999999995</v>
      </c>
      <c r="N738" s="315">
        <f ca="1">'Meta calórica'!N86</f>
        <v>1509.1999999999998</v>
      </c>
      <c r="O738" s="294"/>
      <c r="P738" s="49">
        <f ca="1">'Meta calórica'!P86</f>
        <v>57.742782152230966</v>
      </c>
    </row>
    <row r="739" spans="1:16" ht="15.75" customHeight="1">
      <c r="A739" s="339" t="s">
        <v>268</v>
      </c>
      <c r="B739" s="294"/>
      <c r="C739" s="294"/>
      <c r="D739" s="294"/>
      <c r="E739" s="340" t="e">
        <f ca="1">'Meta calórica'!E87</f>
        <v>#NAME?</v>
      </c>
      <c r="F739" s="294"/>
      <c r="G739" s="294"/>
      <c r="I739" s="339" t="s">
        <v>269</v>
      </c>
      <c r="J739" s="294"/>
      <c r="K739" s="294"/>
      <c r="L739" s="137">
        <f>'Meta calórica'!L87</f>
        <v>0.9</v>
      </c>
      <c r="M739" s="49">
        <f ca="1">'Meta calórica'!M87</f>
        <v>61.739999999999995</v>
      </c>
      <c r="N739" s="315">
        <f ca="1">'Meta calórica'!N87</f>
        <v>555.66</v>
      </c>
      <c r="O739" s="294"/>
      <c r="P739" s="49">
        <f ca="1">'Meta calórica'!P87</f>
        <v>21.259842519685041</v>
      </c>
    </row>
    <row r="740" spans="1:16" ht="15.75" customHeight="1">
      <c r="A740" s="339" t="s">
        <v>270</v>
      </c>
      <c r="B740" s="294"/>
      <c r="C740" s="294"/>
      <c r="D740" s="294"/>
      <c r="E740" s="315" t="e">
        <f ca="1">'Meta calórica'!E88</f>
        <v>#VALUE!</v>
      </c>
      <c r="F740" s="294"/>
      <c r="G740" s="294"/>
      <c r="I740" s="353" t="s">
        <v>271</v>
      </c>
      <c r="J740" s="319"/>
      <c r="K740" s="319"/>
      <c r="L740" s="446"/>
      <c r="M740" s="318">
        <f ca="1">'Meta calórica'!M88</f>
        <v>2613.66</v>
      </c>
      <c r="N740" s="319"/>
      <c r="O740" s="319"/>
      <c r="P740" s="319"/>
    </row>
    <row r="741" spans="1:16" ht="15.75" customHeight="1">
      <c r="A741" s="294"/>
      <c r="B741" s="294"/>
      <c r="C741" s="294"/>
      <c r="D741" s="294"/>
      <c r="E741" s="294"/>
      <c r="F741" s="294"/>
      <c r="G741" s="294"/>
      <c r="I741" s="317"/>
      <c r="J741" s="317"/>
      <c r="K741" s="317"/>
      <c r="L741" s="317"/>
      <c r="M741" s="317"/>
      <c r="N741" s="317"/>
      <c r="O741" s="317"/>
      <c r="P741" s="317"/>
    </row>
    <row r="742" spans="1:16" ht="15.75" customHeight="1">
      <c r="A742" s="353" t="s">
        <v>272</v>
      </c>
      <c r="B742" s="319"/>
      <c r="C742" s="319"/>
      <c r="D742" s="319"/>
      <c r="E742" s="318" t="e">
        <f ca="1">'Meta calórica'!E89</f>
        <v>#VALUE!</v>
      </c>
      <c r="F742" s="319"/>
      <c r="G742" s="319"/>
      <c r="H742" s="42"/>
      <c r="I742" s="42"/>
      <c r="J742" s="42"/>
      <c r="K742" s="42"/>
      <c r="L742" s="42"/>
      <c r="M742" s="42"/>
      <c r="N742" s="42"/>
      <c r="O742" s="42"/>
      <c r="P742" s="42"/>
    </row>
    <row r="743" spans="1:16" ht="15.75" customHeight="1">
      <c r="A743" s="317"/>
      <c r="B743" s="317"/>
      <c r="C743" s="317"/>
      <c r="D743" s="317"/>
      <c r="E743" s="317"/>
      <c r="F743" s="317"/>
      <c r="G743" s="317"/>
      <c r="H743" s="42"/>
      <c r="I743" s="42"/>
      <c r="J743" s="42" t="b">
        <f>'Meta calórica'!J90</f>
        <v>0</v>
      </c>
      <c r="K743" s="352" t="s">
        <v>273</v>
      </c>
      <c r="L743" s="294"/>
      <c r="M743" s="294"/>
      <c r="N743" s="294"/>
      <c r="O743" s="294"/>
      <c r="P743" s="294"/>
    </row>
    <row r="744" spans="1:16" ht="15.75" customHeight="1">
      <c r="A744" s="42"/>
      <c r="B744" s="42"/>
      <c r="C744" s="42"/>
      <c r="D744" s="42"/>
      <c r="E744" s="42"/>
      <c r="F744" s="42"/>
      <c r="G744" s="42"/>
      <c r="H744" s="42"/>
      <c r="I744" s="42"/>
      <c r="J744" s="42"/>
      <c r="K744" s="42"/>
      <c r="L744" s="42"/>
      <c r="M744" s="42"/>
      <c r="N744" s="42"/>
      <c r="O744" s="42"/>
      <c r="P744" s="42"/>
    </row>
    <row r="745" spans="1:16" ht="15.75" customHeight="1">
      <c r="A745" s="353" t="s">
        <v>274</v>
      </c>
      <c r="B745" s="319"/>
      <c r="C745" s="319"/>
      <c r="D745" s="319"/>
      <c r="E745" s="319"/>
      <c r="F745" s="354" t="e">
        <f ca="1">'Meta calórica'!F92</f>
        <v>#VALUE!</v>
      </c>
      <c r="G745" s="319"/>
    </row>
    <row r="746" spans="1:16" ht="15.75" customHeight="1">
      <c r="A746" s="294"/>
      <c r="B746" s="294"/>
      <c r="C746" s="294"/>
      <c r="D746" s="294"/>
      <c r="E746" s="294"/>
      <c r="F746" s="294"/>
      <c r="G746" s="294"/>
    </row>
    <row r="747" spans="1:16" ht="15.75" customHeight="1">
      <c r="A747" s="339" t="s">
        <v>275</v>
      </c>
      <c r="B747" s="294"/>
      <c r="C747" s="294"/>
      <c r="D747" s="294"/>
      <c r="E747" s="294"/>
      <c r="F747" s="355" t="e">
        <f ca="1">'Meta calórica'!F94</f>
        <v>#VALUE!</v>
      </c>
      <c r="G747" s="294"/>
    </row>
    <row r="748" spans="1:16" ht="15.75" customHeight="1">
      <c r="A748" s="317"/>
      <c r="B748" s="317"/>
      <c r="C748" s="317"/>
      <c r="D748" s="317"/>
      <c r="E748" s="317"/>
      <c r="F748" s="317"/>
      <c r="G748" s="317"/>
    </row>
    <row r="749" spans="1:16" ht="15.75" customHeight="1">
      <c r="A749" s="294"/>
      <c r="B749" s="294"/>
      <c r="C749" s="294"/>
      <c r="D749" s="294"/>
      <c r="E749" s="294"/>
      <c r="F749" s="294"/>
      <c r="G749" s="294"/>
    </row>
    <row r="750" spans="1:16" ht="15.75" customHeight="1">
      <c r="A750" s="294"/>
      <c r="B750" s="294"/>
      <c r="C750" s="294"/>
      <c r="D750" s="294"/>
      <c r="E750" s="294"/>
      <c r="F750" s="294"/>
      <c r="G750" s="294"/>
    </row>
    <row r="751" spans="1:16" ht="15.75" customHeight="1">
      <c r="A751" s="294"/>
      <c r="B751" s="294"/>
      <c r="C751" s="294"/>
      <c r="D751" s="294"/>
      <c r="E751" s="294"/>
      <c r="F751" s="294"/>
      <c r="G751" s="294"/>
    </row>
    <row r="752" spans="1:16" ht="15.75" customHeight="1">
      <c r="A752" s="294"/>
      <c r="B752" s="294"/>
      <c r="C752" s="294"/>
      <c r="D752" s="294"/>
      <c r="E752" s="294"/>
      <c r="F752" s="294"/>
      <c r="G752" s="294"/>
    </row>
    <row r="753" spans="1:16" ht="15.75" customHeight="1">
      <c r="A753" s="294"/>
      <c r="B753" s="294"/>
      <c r="C753" s="294"/>
      <c r="D753" s="294"/>
      <c r="E753" s="294"/>
      <c r="F753" s="294"/>
      <c r="G753" s="294"/>
    </row>
    <row r="754" spans="1:16" ht="15.75" customHeight="1">
      <c r="A754" s="294"/>
      <c r="B754" s="294"/>
      <c r="C754" s="294"/>
      <c r="D754" s="294"/>
      <c r="E754" s="294"/>
      <c r="F754" s="294"/>
      <c r="G754" s="294"/>
    </row>
    <row r="755" spans="1:16" ht="15.75" customHeight="1">
      <c r="A755" s="294"/>
      <c r="B755" s="294"/>
      <c r="C755" s="294"/>
      <c r="D755" s="294"/>
      <c r="E755" s="294"/>
      <c r="F755" s="294"/>
      <c r="G755" s="294"/>
    </row>
    <row r="756" spans="1:16" ht="15.75" customHeight="1">
      <c r="A756" s="294"/>
      <c r="B756" s="294"/>
      <c r="C756" s="294"/>
      <c r="D756" s="294"/>
      <c r="E756" s="294"/>
      <c r="F756" s="294"/>
      <c r="G756" s="294"/>
      <c r="I756" s="68"/>
      <c r="J756" s="68"/>
      <c r="K756" s="68"/>
      <c r="L756" s="68"/>
      <c r="M756" s="68"/>
      <c r="N756" s="68"/>
      <c r="O756" s="68"/>
      <c r="P756" s="68"/>
    </row>
    <row r="757" spans="1:16" ht="15.75" customHeight="1">
      <c r="I757" s="68"/>
      <c r="J757" s="68"/>
      <c r="K757" s="68"/>
      <c r="L757" s="68"/>
      <c r="M757" s="68"/>
      <c r="N757" s="68"/>
      <c r="O757" s="68"/>
      <c r="P757" s="68"/>
    </row>
    <row r="758" spans="1:16" ht="15.75" customHeight="1">
      <c r="A758" s="351" t="s">
        <v>276</v>
      </c>
      <c r="B758" s="324"/>
      <c r="C758" s="324"/>
      <c r="D758" s="324"/>
      <c r="E758" s="324"/>
      <c r="F758" s="324"/>
      <c r="G758" s="324"/>
      <c r="H758" s="324"/>
      <c r="I758" s="324"/>
      <c r="J758" s="324"/>
      <c r="K758" s="324"/>
      <c r="L758" s="324"/>
      <c r="M758" s="324"/>
      <c r="N758" s="68"/>
      <c r="O758" s="68"/>
      <c r="P758" s="68"/>
    </row>
    <row r="759" spans="1:16" ht="15.75" customHeight="1">
      <c r="A759" s="338" t="s">
        <v>277</v>
      </c>
      <c r="B759" s="294"/>
      <c r="C759" s="294"/>
      <c r="D759" s="294"/>
      <c r="E759" s="294"/>
      <c r="F759" s="294"/>
      <c r="G759" s="294"/>
      <c r="H759" s="356" t="e">
        <f ca="1">'Meta calórica'!H106</f>
        <v>#VALUE!</v>
      </c>
      <c r="I759" s="294"/>
      <c r="J759" s="294"/>
      <c r="K759" s="294"/>
      <c r="L759" s="294"/>
      <c r="M759" s="294"/>
      <c r="N759" s="68"/>
      <c r="O759" s="68"/>
      <c r="P759" s="68"/>
    </row>
    <row r="760" spans="1:16" ht="15.75" customHeight="1">
      <c r="A760" s="339" t="s">
        <v>278</v>
      </c>
      <c r="B760" s="294"/>
      <c r="C760" s="294"/>
      <c r="D760" s="294"/>
      <c r="E760" s="294"/>
      <c r="F760" s="294"/>
      <c r="G760" s="294"/>
      <c r="H760" s="356" t="e">
        <f ca="1">'Meta calórica'!H107</f>
        <v>#VALUE!</v>
      </c>
      <c r="I760" s="294"/>
      <c r="J760" s="294"/>
      <c r="K760" s="294"/>
      <c r="L760" s="294"/>
      <c r="M760" s="294"/>
      <c r="N760" s="68"/>
      <c r="O760" s="68"/>
      <c r="P760" s="68"/>
    </row>
    <row r="761" spans="1:16" ht="15.75" customHeight="1">
      <c r="A761" s="341" t="str">
        <f ca="1">'Meta calórica'!A108</f>
        <v>Variação da meta proposta (-0,4kg)</v>
      </c>
      <c r="B761" s="317"/>
      <c r="C761" s="317"/>
      <c r="D761" s="317"/>
      <c r="E761" s="317"/>
      <c r="F761" s="317"/>
      <c r="G761" s="317"/>
      <c r="H761" s="429" t="e">
        <f ca="1">'Meta calórica'!H108</f>
        <v>#VALUE!</v>
      </c>
      <c r="I761" s="317"/>
      <c r="J761" s="317"/>
      <c r="K761" s="317"/>
      <c r="L761" s="317"/>
      <c r="M761" s="317"/>
      <c r="N761" s="68"/>
      <c r="O761" s="68"/>
      <c r="P761" s="68"/>
    </row>
    <row r="762" spans="1:16" ht="15.75" customHeight="1">
      <c r="A762" s="68"/>
      <c r="B762" s="68"/>
      <c r="C762" s="68"/>
      <c r="D762" s="68"/>
      <c r="E762" s="68"/>
      <c r="F762" s="68"/>
      <c r="G762" s="68"/>
      <c r="H762" s="68"/>
      <c r="I762" s="68"/>
      <c r="J762" s="68"/>
      <c r="K762" s="68"/>
      <c r="L762" s="68"/>
      <c r="M762" s="68"/>
      <c r="N762" s="68"/>
      <c r="O762" s="68"/>
      <c r="P762" s="68"/>
    </row>
    <row r="763" spans="1:16" ht="15.75" customHeight="1">
      <c r="A763" s="331"/>
      <c r="B763" s="294"/>
      <c r="C763" s="294"/>
      <c r="D763" s="294"/>
      <c r="E763" s="294"/>
      <c r="F763" s="294"/>
      <c r="G763" s="294"/>
      <c r="H763" s="294"/>
      <c r="I763" s="294"/>
      <c r="J763" s="294"/>
      <c r="K763" s="294"/>
      <c r="L763" s="294"/>
      <c r="M763" s="294"/>
      <c r="N763" s="294"/>
      <c r="O763" s="294"/>
      <c r="P763" s="294"/>
    </row>
    <row r="764" spans="1:16" ht="15.75" customHeight="1">
      <c r="A764" s="294"/>
      <c r="B764" s="294"/>
      <c r="C764" s="294"/>
      <c r="D764" s="294"/>
      <c r="E764" s="294"/>
      <c r="F764" s="294"/>
      <c r="G764" s="294"/>
      <c r="H764" s="294"/>
      <c r="I764" s="294"/>
      <c r="J764" s="294"/>
      <c r="K764" s="294"/>
      <c r="L764" s="294"/>
      <c r="M764" s="294"/>
      <c r="N764" s="294"/>
      <c r="O764" s="294"/>
      <c r="P764" s="294"/>
    </row>
    <row r="765" spans="1:16" ht="15.75" customHeight="1">
      <c r="A765" s="294"/>
      <c r="B765" s="294"/>
      <c r="C765" s="294"/>
      <c r="D765" s="294"/>
      <c r="E765" s="294"/>
      <c r="F765" s="294"/>
      <c r="G765" s="294"/>
      <c r="H765" s="294"/>
      <c r="I765" s="294"/>
      <c r="J765" s="294"/>
      <c r="K765" s="294"/>
      <c r="L765" s="294"/>
      <c r="M765" s="294"/>
      <c r="N765" s="294"/>
      <c r="O765" s="294"/>
      <c r="P765" s="294"/>
    </row>
    <row r="766" spans="1:16" ht="15.75" customHeight="1">
      <c r="A766" s="294"/>
      <c r="B766" s="294"/>
      <c r="C766" s="294"/>
      <c r="D766" s="294"/>
      <c r="E766" s="294"/>
      <c r="F766" s="294"/>
      <c r="G766" s="294"/>
      <c r="H766" s="294"/>
      <c r="I766" s="294"/>
      <c r="J766" s="294"/>
      <c r="K766" s="294"/>
      <c r="L766" s="294"/>
      <c r="M766" s="294"/>
      <c r="N766" s="294"/>
      <c r="O766" s="294"/>
      <c r="P766" s="294"/>
    </row>
    <row r="767" spans="1:16" ht="15.75" customHeight="1">
      <c r="A767" s="294"/>
      <c r="B767" s="294"/>
      <c r="C767" s="294"/>
      <c r="D767" s="294"/>
      <c r="E767" s="294"/>
      <c r="F767" s="294"/>
      <c r="G767" s="294"/>
      <c r="H767" s="294"/>
      <c r="I767" s="294"/>
      <c r="J767" s="294"/>
      <c r="K767" s="294"/>
      <c r="L767" s="294"/>
      <c r="M767" s="294"/>
      <c r="N767" s="294"/>
      <c r="O767" s="294"/>
      <c r="P767" s="294"/>
    </row>
    <row r="768" spans="1:16" ht="15.75" customHeight="1">
      <c r="A768" s="294"/>
      <c r="B768" s="294"/>
      <c r="C768" s="294"/>
      <c r="D768" s="294"/>
      <c r="E768" s="294"/>
      <c r="F768" s="294"/>
      <c r="G768" s="294"/>
      <c r="H768" s="294"/>
      <c r="I768" s="294"/>
      <c r="J768" s="294"/>
      <c r="K768" s="294"/>
      <c r="L768" s="294"/>
      <c r="M768" s="294"/>
      <c r="N768" s="294"/>
      <c r="O768" s="294"/>
      <c r="P768" s="294"/>
    </row>
    <row r="769" spans="1:16" ht="15.75" customHeight="1">
      <c r="A769" s="294"/>
      <c r="B769" s="294"/>
      <c r="C769" s="294"/>
      <c r="D769" s="294"/>
      <c r="E769" s="294"/>
      <c r="F769" s="294"/>
      <c r="G769" s="294"/>
      <c r="H769" s="294"/>
      <c r="I769" s="294"/>
      <c r="J769" s="294"/>
      <c r="K769" s="294"/>
      <c r="L769" s="294"/>
      <c r="M769" s="294"/>
      <c r="N769" s="294"/>
      <c r="O769" s="294"/>
      <c r="P769" s="294"/>
    </row>
    <row r="770" spans="1:16" ht="15.75" customHeight="1">
      <c r="A770" s="294"/>
      <c r="B770" s="294"/>
      <c r="C770" s="294"/>
      <c r="D770" s="294"/>
      <c r="E770" s="294"/>
      <c r="F770" s="294"/>
      <c r="G770" s="294"/>
      <c r="H770" s="294"/>
      <c r="I770" s="294"/>
      <c r="J770" s="294"/>
      <c r="K770" s="294"/>
      <c r="L770" s="294"/>
      <c r="M770" s="294"/>
      <c r="N770" s="294"/>
      <c r="O770" s="294"/>
      <c r="P770" s="294"/>
    </row>
    <row r="771" spans="1:16" ht="15.75" customHeight="1">
      <c r="A771" s="294"/>
      <c r="B771" s="294"/>
      <c r="C771" s="294"/>
      <c r="D771" s="294"/>
      <c r="E771" s="294"/>
      <c r="F771" s="294"/>
      <c r="G771" s="294"/>
      <c r="H771" s="294"/>
      <c r="I771" s="294"/>
      <c r="J771" s="294"/>
      <c r="K771" s="294"/>
      <c r="L771" s="294"/>
      <c r="M771" s="294"/>
      <c r="N771" s="294"/>
      <c r="O771" s="294"/>
      <c r="P771" s="294"/>
    </row>
    <row r="772" spans="1:16" ht="15.75" customHeight="1">
      <c r="A772" s="294"/>
      <c r="B772" s="294"/>
      <c r="C772" s="294"/>
      <c r="D772" s="294"/>
      <c r="E772" s="294"/>
      <c r="F772" s="294"/>
      <c r="G772" s="294"/>
      <c r="H772" s="294"/>
      <c r="I772" s="294"/>
      <c r="J772" s="294"/>
      <c r="K772" s="294"/>
      <c r="L772" s="294"/>
      <c r="M772" s="294"/>
      <c r="N772" s="294"/>
      <c r="O772" s="294"/>
      <c r="P772" s="294"/>
    </row>
    <row r="773" spans="1:16" ht="15.75" customHeight="1">
      <c r="A773" s="294"/>
      <c r="B773" s="294"/>
      <c r="C773" s="294"/>
      <c r="D773" s="294"/>
      <c r="E773" s="294"/>
      <c r="F773" s="294"/>
      <c r="G773" s="294"/>
      <c r="H773" s="294"/>
      <c r="I773" s="294"/>
      <c r="J773" s="294"/>
      <c r="K773" s="294"/>
      <c r="L773" s="294"/>
      <c r="M773" s="294"/>
      <c r="N773" s="294"/>
      <c r="O773" s="294"/>
      <c r="P773" s="294"/>
    </row>
    <row r="774" spans="1:16" ht="15.75" customHeight="1">
      <c r="A774" s="294"/>
      <c r="B774" s="294"/>
      <c r="C774" s="294"/>
      <c r="D774" s="294"/>
      <c r="E774" s="294"/>
      <c r="F774" s="294"/>
      <c r="G774" s="294"/>
      <c r="H774" s="294"/>
      <c r="I774" s="294"/>
      <c r="J774" s="294"/>
      <c r="K774" s="294"/>
      <c r="L774" s="294"/>
      <c r="M774" s="294"/>
      <c r="N774" s="294"/>
      <c r="O774" s="294"/>
      <c r="P774" s="294"/>
    </row>
    <row r="775" spans="1:16" ht="15.75" customHeight="1">
      <c r="A775" s="294"/>
      <c r="B775" s="294"/>
      <c r="C775" s="294"/>
      <c r="D775" s="294"/>
      <c r="E775" s="294"/>
      <c r="F775" s="294"/>
      <c r="G775" s="294"/>
      <c r="H775" s="294"/>
      <c r="I775" s="294"/>
      <c r="J775" s="294"/>
      <c r="K775" s="294"/>
      <c r="L775" s="294"/>
      <c r="M775" s="294"/>
      <c r="N775" s="294"/>
      <c r="O775" s="294"/>
      <c r="P775" s="294"/>
    </row>
    <row r="776" spans="1:16" ht="15.75" customHeight="1">
      <c r="A776" s="294"/>
      <c r="B776" s="294"/>
      <c r="C776" s="294"/>
      <c r="D776" s="294"/>
      <c r="E776" s="294"/>
      <c r="F776" s="294"/>
      <c r="G776" s="294"/>
      <c r="H776" s="294"/>
      <c r="I776" s="294"/>
      <c r="J776" s="294"/>
      <c r="K776" s="294"/>
      <c r="L776" s="294"/>
      <c r="M776" s="294"/>
      <c r="N776" s="294"/>
      <c r="O776" s="294"/>
      <c r="P776" s="294"/>
    </row>
    <row r="777" spans="1:16" ht="15.75" customHeight="1">
      <c r="A777" s="392" t="s">
        <v>451</v>
      </c>
      <c r="B777" s="294"/>
      <c r="C777" s="294"/>
      <c r="D777" s="294"/>
      <c r="E777" s="294"/>
      <c r="F777" s="294"/>
      <c r="G777" s="294"/>
      <c r="H777" s="294"/>
      <c r="I777" s="294"/>
      <c r="J777" s="294"/>
      <c r="K777" s="294"/>
      <c r="L777" s="294"/>
      <c r="M777" s="294"/>
      <c r="N777" s="294"/>
      <c r="O777" s="294"/>
      <c r="P777" s="294"/>
    </row>
    <row r="778" spans="1:16" ht="15.75" customHeight="1">
      <c r="A778" s="294"/>
      <c r="B778" s="294"/>
      <c r="C778" s="294"/>
      <c r="D778" s="294"/>
      <c r="E778" s="294"/>
      <c r="F778" s="294"/>
      <c r="G778" s="294"/>
      <c r="H778" s="294"/>
      <c r="I778" s="294"/>
      <c r="J778" s="294"/>
      <c r="K778" s="294"/>
      <c r="L778" s="294"/>
      <c r="M778" s="294"/>
      <c r="N778" s="294"/>
      <c r="O778" s="294"/>
      <c r="P778" s="294"/>
    </row>
    <row r="779" spans="1:16" ht="15.75" customHeight="1">
      <c r="A779" s="343" t="s">
        <v>279</v>
      </c>
      <c r="B779" s="324"/>
      <c r="C779" s="324"/>
      <c r="D779" s="344" t="s">
        <v>280</v>
      </c>
      <c r="E779" s="324"/>
      <c r="F779" s="324"/>
      <c r="G779" s="64"/>
      <c r="H779" s="344" t="s">
        <v>281</v>
      </c>
      <c r="I779" s="324"/>
      <c r="J779" s="64"/>
      <c r="K779" s="344" t="s">
        <v>452</v>
      </c>
      <c r="L779" s="324"/>
      <c r="M779" s="68"/>
      <c r="N779" s="68"/>
      <c r="O779" s="68"/>
      <c r="P779" s="68"/>
    </row>
    <row r="780" spans="1:16" ht="15.75" customHeight="1">
      <c r="A780" s="352" t="str">
        <f>'Meta calórica'!A126</f>
        <v>Café da Manhã</v>
      </c>
      <c r="B780" s="294"/>
      <c r="C780" s="294"/>
      <c r="D780" s="315">
        <f>'Meta calórica'!D126</f>
        <v>25</v>
      </c>
      <c r="E780" s="294"/>
      <c r="F780" s="294"/>
      <c r="G780" s="42"/>
      <c r="H780" s="315">
        <f ca="1">'Meta calórica'!H126</f>
        <v>653.41499999999996</v>
      </c>
      <c r="I780" s="294"/>
      <c r="J780" s="42"/>
      <c r="K780" s="430">
        <f>'Meta calórica'!K126</f>
        <v>0.29166666666666669</v>
      </c>
      <c r="L780" s="294"/>
      <c r="M780" s="68"/>
      <c r="N780" s="68"/>
      <c r="O780" s="68"/>
      <c r="P780" s="68"/>
    </row>
    <row r="781" spans="1:16" ht="15.75" customHeight="1">
      <c r="A781" s="352" t="str">
        <f>'Meta calórica'!A127</f>
        <v>Lanche da Manhã</v>
      </c>
      <c r="B781" s="294"/>
      <c r="C781" s="294"/>
      <c r="D781" s="315">
        <f>'Meta calórica'!D127</f>
        <v>10</v>
      </c>
      <c r="E781" s="294"/>
      <c r="F781" s="294"/>
      <c r="G781" s="42"/>
      <c r="H781" s="315">
        <f ca="1">'Meta calórica'!H127</f>
        <v>261.36599999999999</v>
      </c>
      <c r="I781" s="294"/>
      <c r="J781" s="42"/>
      <c r="K781" s="430">
        <f>'Meta calórica'!K127</f>
        <v>0.375</v>
      </c>
      <c r="L781" s="294"/>
      <c r="M781" s="68"/>
      <c r="N781" s="68"/>
      <c r="O781" s="68"/>
      <c r="P781" s="68"/>
    </row>
    <row r="782" spans="1:16" ht="15.75" customHeight="1">
      <c r="A782" s="352" t="str">
        <f>'Meta calórica'!A128</f>
        <v>Almoço</v>
      </c>
      <c r="B782" s="294"/>
      <c r="C782" s="294"/>
      <c r="D782" s="315">
        <f>'Meta calórica'!D128</f>
        <v>35</v>
      </c>
      <c r="E782" s="294"/>
      <c r="F782" s="294"/>
      <c r="G782" s="42"/>
      <c r="H782" s="315">
        <f ca="1">'Meta calórica'!H128</f>
        <v>914.78099999999995</v>
      </c>
      <c r="I782" s="294"/>
      <c r="J782" s="42"/>
      <c r="K782" s="430">
        <f>'Meta calórica'!K128</f>
        <v>0.5</v>
      </c>
      <c r="L782" s="294"/>
      <c r="M782" s="68"/>
      <c r="N782" s="68"/>
      <c r="O782" s="68"/>
      <c r="P782" s="68"/>
    </row>
    <row r="783" spans="1:16" ht="15.75" customHeight="1">
      <c r="A783" s="352" t="str">
        <f>'Meta calórica'!A129</f>
        <v>Lanche da Tarde</v>
      </c>
      <c r="B783" s="294"/>
      <c r="C783" s="294"/>
      <c r="D783" s="315">
        <f>'Meta calórica'!D129</f>
        <v>10</v>
      </c>
      <c r="E783" s="294"/>
      <c r="F783" s="294"/>
      <c r="G783" s="42"/>
      <c r="H783" s="315">
        <f ca="1">'Meta calórica'!H129</f>
        <v>261.36599999999999</v>
      </c>
      <c r="I783" s="294"/>
      <c r="J783" s="42"/>
      <c r="K783" s="430">
        <f>'Meta calórica'!K129</f>
        <v>0.66666666666666663</v>
      </c>
      <c r="L783" s="294"/>
      <c r="M783" s="68"/>
      <c r="N783" s="68"/>
      <c r="O783" s="68"/>
      <c r="P783" s="68"/>
    </row>
    <row r="784" spans="1:16" ht="15.75" customHeight="1">
      <c r="A784" s="352" t="str">
        <f>'Meta calórica'!A130</f>
        <v>Jantar</v>
      </c>
      <c r="B784" s="294"/>
      <c r="C784" s="294"/>
      <c r="D784" s="315">
        <f>'Meta calórica'!D130</f>
        <v>20</v>
      </c>
      <c r="E784" s="294"/>
      <c r="F784" s="294"/>
      <c r="G784" s="42"/>
      <c r="H784" s="315">
        <f ca="1">'Meta calórica'!H130</f>
        <v>522.73199999999997</v>
      </c>
      <c r="I784" s="294"/>
      <c r="J784" s="42"/>
      <c r="K784" s="430">
        <f>'Meta calórica'!K130</f>
        <v>0.8125</v>
      </c>
      <c r="L784" s="294"/>
      <c r="M784" s="68"/>
      <c r="N784" s="68"/>
      <c r="O784" s="68"/>
      <c r="P784" s="68"/>
    </row>
    <row r="785" spans="1:16" ht="15.75" customHeight="1">
      <c r="A785" s="352">
        <f>'Meta calórica'!A131</f>
        <v>0</v>
      </c>
      <c r="B785" s="294"/>
      <c r="C785" s="294"/>
      <c r="D785" s="315">
        <f>'Meta calórica'!D131</f>
        <v>0</v>
      </c>
      <c r="E785" s="294"/>
      <c r="F785" s="294"/>
      <c r="G785" s="42"/>
      <c r="H785" s="315" t="str">
        <f>'Meta calórica'!H131</f>
        <v/>
      </c>
      <c r="I785" s="294"/>
      <c r="J785" s="42"/>
      <c r="K785" s="430">
        <f>'Meta calórica'!K131</f>
        <v>0</v>
      </c>
      <c r="L785" s="294"/>
      <c r="M785" s="68"/>
      <c r="N785" s="68"/>
      <c r="O785" s="68"/>
      <c r="P785" s="68"/>
    </row>
    <row r="786" spans="1:16" ht="15.75" customHeight="1">
      <c r="A786" s="348" t="s">
        <v>288</v>
      </c>
      <c r="B786" s="324"/>
      <c r="C786" s="324"/>
      <c r="D786" s="349">
        <f>'Meta calórica'!D132</f>
        <v>100</v>
      </c>
      <c r="E786" s="324"/>
      <c r="F786" s="324"/>
      <c r="G786" s="77"/>
      <c r="H786" s="349">
        <f>'Meta calórica'!H132</f>
        <v>0</v>
      </c>
      <c r="I786" s="324"/>
      <c r="J786" s="77"/>
      <c r="K786" s="349">
        <f>'Meta calórica'!K132</f>
        <v>0</v>
      </c>
      <c r="L786" s="324"/>
      <c r="M786" s="68"/>
      <c r="N786" s="68"/>
      <c r="O786" s="68"/>
      <c r="P786" s="68"/>
    </row>
    <row r="787" spans="1:16" ht="15.75" customHeight="1">
      <c r="A787" s="68"/>
      <c r="B787" s="68"/>
      <c r="C787" s="68"/>
      <c r="D787" s="68"/>
      <c r="E787" s="68"/>
      <c r="F787" s="68"/>
      <c r="G787" s="68"/>
      <c r="H787" s="68"/>
      <c r="I787" s="68"/>
      <c r="J787" s="68"/>
      <c r="K787" s="68"/>
      <c r="L787" s="68"/>
      <c r="M787" s="68"/>
      <c r="N787" s="68"/>
      <c r="O787" s="68"/>
      <c r="P787" s="68"/>
    </row>
    <row r="788" spans="1:16" ht="15.75" customHeight="1">
      <c r="A788" s="350" t="str">
        <f>'Meta calórica'!A134</f>
        <v>Café da Manhã</v>
      </c>
      <c r="B788" s="319"/>
      <c r="C788" s="319"/>
      <c r="D788" s="78">
        <f ca="1">'Meta calórica'!D134</f>
        <v>653.41499999999996</v>
      </c>
      <c r="E788" s="79" t="str">
        <f ca="1">'Meta calórica'!E134</f>
        <v>kcal</v>
      </c>
      <c r="F788" s="350" t="str">
        <f>'Meta calórica'!F134</f>
        <v>Lanche da Manhã</v>
      </c>
      <c r="G788" s="319"/>
      <c r="H788" s="319"/>
      <c r="I788" s="78">
        <f ca="1">'Meta calórica'!I134</f>
        <v>261.36599999999999</v>
      </c>
      <c r="J788" s="79" t="str">
        <f ca="1">'Meta calórica'!J134</f>
        <v>kcal</v>
      </c>
      <c r="K788" s="350" t="str">
        <f>'Meta calórica'!K134</f>
        <v>Almoço</v>
      </c>
      <c r="L788" s="319"/>
      <c r="M788" s="319"/>
      <c r="N788" s="78">
        <f ca="1">'Meta calórica'!N134</f>
        <v>914.78099999999995</v>
      </c>
      <c r="O788" s="45" t="str">
        <f ca="1">'Meta calórica'!O134</f>
        <v>kcal</v>
      </c>
      <c r="P788" s="68"/>
    </row>
    <row r="789" spans="1:16" ht="15.75" customHeight="1">
      <c r="A789" s="75"/>
      <c r="B789" s="45" t="s">
        <v>264</v>
      </c>
      <c r="C789" s="350" t="s">
        <v>281</v>
      </c>
      <c r="D789" s="319"/>
      <c r="E789" s="79" t="s">
        <v>289</v>
      </c>
      <c r="F789" s="75"/>
      <c r="G789" s="45" t="s">
        <v>264</v>
      </c>
      <c r="H789" s="350" t="s">
        <v>281</v>
      </c>
      <c r="I789" s="319"/>
      <c r="J789" s="79" t="s">
        <v>289</v>
      </c>
      <c r="K789" s="75"/>
      <c r="L789" s="45" t="s">
        <v>264</v>
      </c>
      <c r="M789" s="350" t="s">
        <v>281</v>
      </c>
      <c r="N789" s="319"/>
      <c r="O789" s="45" t="s">
        <v>289</v>
      </c>
      <c r="P789" s="68"/>
    </row>
    <row r="790" spans="1:16" ht="15.75" customHeight="1">
      <c r="A790" s="48" t="s">
        <v>290</v>
      </c>
      <c r="B790" s="51">
        <f>'Meta calórica'!B136</f>
        <v>53.7</v>
      </c>
      <c r="C790" s="315">
        <f ca="1">'Meta calórica'!C136</f>
        <v>350.88385499999998</v>
      </c>
      <c r="D790" s="294"/>
      <c r="E790" s="81">
        <f ca="1">'Meta calórica'!E136</f>
        <v>87.720963749999996</v>
      </c>
      <c r="F790" s="48" t="s">
        <v>290</v>
      </c>
      <c r="G790" s="51">
        <f>'Meta calórica'!G136</f>
        <v>53.7</v>
      </c>
      <c r="H790" s="315">
        <f ca="1">'Meta calórica'!H136</f>
        <v>140.353542</v>
      </c>
      <c r="I790" s="294"/>
      <c r="J790" s="81">
        <f ca="1">'Meta calórica'!J136</f>
        <v>35.088385500000001</v>
      </c>
      <c r="K790" s="48" t="s">
        <v>290</v>
      </c>
      <c r="L790" s="51">
        <f>'Meta calórica'!L136</f>
        <v>53.7</v>
      </c>
      <c r="M790" s="315">
        <f ca="1">'Meta calórica'!M136</f>
        <v>491.23739699999999</v>
      </c>
      <c r="N790" s="294"/>
      <c r="O790" s="49">
        <f ca="1">'Meta calórica'!O136</f>
        <v>122.80934925</v>
      </c>
      <c r="P790" s="68"/>
    </row>
    <row r="791" spans="1:16" ht="15.75" customHeight="1">
      <c r="A791" s="48" t="s">
        <v>291</v>
      </c>
      <c r="B791" s="51">
        <f>'Meta calórica'!B137</f>
        <v>23.8</v>
      </c>
      <c r="C791" s="315">
        <f ca="1">'Meta calórica'!C137</f>
        <v>155.51276999999999</v>
      </c>
      <c r="D791" s="294"/>
      <c r="E791" s="81">
        <f ca="1">'Meta calórica'!E137</f>
        <v>38.878192499999997</v>
      </c>
      <c r="F791" s="48" t="s">
        <v>291</v>
      </c>
      <c r="G791" s="51">
        <f>'Meta calórica'!G137</f>
        <v>23.8</v>
      </c>
      <c r="H791" s="315">
        <f ca="1">'Meta calórica'!H137</f>
        <v>62.205108000000003</v>
      </c>
      <c r="I791" s="294"/>
      <c r="J791" s="81">
        <f ca="1">'Meta calórica'!J137</f>
        <v>15.551277000000001</v>
      </c>
      <c r="K791" s="48" t="s">
        <v>291</v>
      </c>
      <c r="L791" s="51">
        <f>'Meta calórica'!L137</f>
        <v>23.8</v>
      </c>
      <c r="M791" s="315">
        <f ca="1">'Meta calórica'!M137</f>
        <v>217.71787799999998</v>
      </c>
      <c r="N791" s="294"/>
      <c r="O791" s="49">
        <f ca="1">'Meta calórica'!O137</f>
        <v>54.429469499999996</v>
      </c>
      <c r="P791" s="68"/>
    </row>
    <row r="792" spans="1:16" ht="15.75" customHeight="1">
      <c r="A792" s="53" t="s">
        <v>292</v>
      </c>
      <c r="B792" s="56">
        <f>'Meta calórica'!B138</f>
        <v>22.5</v>
      </c>
      <c r="C792" s="316">
        <f ca="1">'Meta calórica'!C138</f>
        <v>147.01837499999999</v>
      </c>
      <c r="D792" s="317"/>
      <c r="E792" s="138">
        <f ca="1">'Meta calórica'!E138</f>
        <v>16.335374999999999</v>
      </c>
      <c r="F792" s="53" t="s">
        <v>292</v>
      </c>
      <c r="G792" s="56">
        <f>'Meta calórica'!G138</f>
        <v>22.5</v>
      </c>
      <c r="H792" s="316">
        <f ca="1">'Meta calórica'!H138</f>
        <v>58.80735</v>
      </c>
      <c r="I792" s="317"/>
      <c r="J792" s="138">
        <f ca="1">'Meta calórica'!J138</f>
        <v>6.5341500000000003</v>
      </c>
      <c r="K792" s="53" t="s">
        <v>292</v>
      </c>
      <c r="L792" s="56">
        <f>'Meta calórica'!L138</f>
        <v>22.5</v>
      </c>
      <c r="M792" s="316">
        <f ca="1">'Meta calórica'!M138</f>
        <v>205.82572499999998</v>
      </c>
      <c r="N792" s="317"/>
      <c r="O792" s="55">
        <f ca="1">'Meta calórica'!O138</f>
        <v>22.869524999999996</v>
      </c>
      <c r="P792" s="68"/>
    </row>
    <row r="793" spans="1:16" ht="15.75" customHeight="1">
      <c r="A793" s="53"/>
      <c r="B793" s="55">
        <f>'Meta calórica'!B139</f>
        <v>100</v>
      </c>
      <c r="C793" s="316">
        <f ca="1">'Meta calórica'!C139</f>
        <v>653.41499999999996</v>
      </c>
      <c r="D793" s="317"/>
      <c r="E793" s="139"/>
      <c r="F793" s="53"/>
      <c r="G793" s="55">
        <f>'Meta calórica'!G139</f>
        <v>100</v>
      </c>
      <c r="H793" s="316">
        <f ca="1">'Meta calórica'!H139</f>
        <v>261.36599999999999</v>
      </c>
      <c r="I793" s="317"/>
      <c r="J793" s="139"/>
      <c r="K793" s="53"/>
      <c r="L793" s="55">
        <f>'Meta calórica'!L139</f>
        <v>100</v>
      </c>
      <c r="M793" s="316">
        <f ca="1">'Meta calórica'!M139</f>
        <v>914.78099999999995</v>
      </c>
      <c r="N793" s="317"/>
      <c r="O793" s="57"/>
      <c r="P793" s="68"/>
    </row>
    <row r="794" spans="1:16" ht="15.75" customHeight="1">
      <c r="A794" s="68"/>
      <c r="B794" s="68"/>
      <c r="C794" s="68"/>
      <c r="D794" s="68"/>
      <c r="E794" s="68"/>
      <c r="G794" s="74"/>
      <c r="J794" s="68"/>
      <c r="O794" s="68"/>
      <c r="P794" s="68"/>
    </row>
    <row r="795" spans="1:16" ht="15.75" customHeight="1">
      <c r="E795" s="12"/>
      <c r="J795" s="12"/>
      <c r="O795" s="12"/>
      <c r="P795" s="68"/>
    </row>
    <row r="796" spans="1:16" ht="15.75" customHeight="1">
      <c r="A796" s="350" t="str">
        <f>'Meta calórica'!A142</f>
        <v>Lanche da Tarde</v>
      </c>
      <c r="B796" s="319"/>
      <c r="C796" s="319"/>
      <c r="D796" s="78">
        <f ca="1">'Meta calórica'!D142</f>
        <v>261.36599999999999</v>
      </c>
      <c r="E796" s="79" t="str">
        <f ca="1">'Meta calórica'!E142</f>
        <v>kcal</v>
      </c>
      <c r="F796" s="350" t="str">
        <f>'Meta calórica'!F142</f>
        <v>Jantar</v>
      </c>
      <c r="G796" s="319"/>
      <c r="H796" s="319"/>
      <c r="I796" s="78">
        <f ca="1">'Meta calórica'!I142</f>
        <v>522.73199999999997</v>
      </c>
      <c r="J796" s="79" t="str">
        <f ca="1">'Meta calórica'!J142</f>
        <v>kcal</v>
      </c>
      <c r="K796" s="350">
        <f>'Meta calórica'!K142</f>
        <v>0</v>
      </c>
      <c r="L796" s="319"/>
      <c r="M796" s="319"/>
      <c r="N796" s="78" t="str">
        <f>'Meta calórica'!N142</f>
        <v/>
      </c>
      <c r="O796" s="45" t="str">
        <f>'Meta calórica'!O142</f>
        <v/>
      </c>
      <c r="P796" s="68"/>
    </row>
    <row r="797" spans="1:16" ht="15.75" customHeight="1">
      <c r="A797" s="75"/>
      <c r="B797" s="45" t="s">
        <v>264</v>
      </c>
      <c r="C797" s="350" t="s">
        <v>281</v>
      </c>
      <c r="D797" s="319"/>
      <c r="E797" s="79" t="s">
        <v>289</v>
      </c>
      <c r="F797" s="75"/>
      <c r="G797" s="45" t="s">
        <v>264</v>
      </c>
      <c r="H797" s="350" t="s">
        <v>281</v>
      </c>
      <c r="I797" s="319"/>
      <c r="J797" s="79" t="s">
        <v>289</v>
      </c>
      <c r="K797" s="75"/>
      <c r="L797" s="45" t="s">
        <v>264</v>
      </c>
      <c r="M797" s="350" t="s">
        <v>281</v>
      </c>
      <c r="N797" s="319"/>
      <c r="O797" s="45" t="s">
        <v>289</v>
      </c>
      <c r="P797" s="68"/>
    </row>
    <row r="798" spans="1:16" ht="15.75" customHeight="1">
      <c r="A798" s="48" t="s">
        <v>290</v>
      </c>
      <c r="B798" s="51">
        <f>'Meta calórica'!B144</f>
        <v>53.7</v>
      </c>
      <c r="C798" s="315">
        <f ca="1">'Meta calórica'!C144</f>
        <v>140.353542</v>
      </c>
      <c r="D798" s="294"/>
      <c r="E798" s="81">
        <f ca="1">'Meta calórica'!E144</f>
        <v>35.088385500000001</v>
      </c>
      <c r="F798" s="48" t="s">
        <v>290</v>
      </c>
      <c r="G798" s="51">
        <f>'Meta calórica'!G144</f>
        <v>53.7</v>
      </c>
      <c r="H798" s="315">
        <f ca="1">'Meta calórica'!H144</f>
        <v>280.70708400000001</v>
      </c>
      <c r="I798" s="294"/>
      <c r="J798" s="81">
        <f ca="1">'Meta calórica'!J144</f>
        <v>70.176771000000002</v>
      </c>
      <c r="K798" s="48" t="s">
        <v>290</v>
      </c>
      <c r="L798" s="51">
        <f>'Meta calórica'!L144</f>
        <v>53.7</v>
      </c>
      <c r="M798" s="315" t="e">
        <f>'Meta calórica'!M144</f>
        <v>#VALUE!</v>
      </c>
      <c r="N798" s="294"/>
      <c r="O798" s="49" t="e">
        <f>'Meta calórica'!O144</f>
        <v>#VALUE!</v>
      </c>
      <c r="P798" s="68"/>
    </row>
    <row r="799" spans="1:16" ht="15.75" customHeight="1">
      <c r="A799" s="48" t="s">
        <v>291</v>
      </c>
      <c r="B799" s="51">
        <f>'Meta calórica'!B145</f>
        <v>23.8</v>
      </c>
      <c r="C799" s="315">
        <f ca="1">'Meta calórica'!C145</f>
        <v>62.205108000000003</v>
      </c>
      <c r="D799" s="294"/>
      <c r="E799" s="81">
        <f ca="1">'Meta calórica'!E145</f>
        <v>15.551277000000001</v>
      </c>
      <c r="F799" s="48" t="s">
        <v>291</v>
      </c>
      <c r="G799" s="51">
        <f>'Meta calórica'!G145</f>
        <v>23.8</v>
      </c>
      <c r="H799" s="315">
        <f ca="1">'Meta calórica'!H145</f>
        <v>124.41021600000001</v>
      </c>
      <c r="I799" s="294"/>
      <c r="J799" s="81">
        <f ca="1">'Meta calórica'!J145</f>
        <v>31.102554000000001</v>
      </c>
      <c r="K799" s="48" t="s">
        <v>291</v>
      </c>
      <c r="L799" s="51">
        <f>'Meta calórica'!L145</f>
        <v>23.8</v>
      </c>
      <c r="M799" s="315" t="e">
        <f>'Meta calórica'!M145</f>
        <v>#VALUE!</v>
      </c>
      <c r="N799" s="294"/>
      <c r="O799" s="49" t="e">
        <f>'Meta calórica'!O145</f>
        <v>#VALUE!</v>
      </c>
      <c r="P799" s="68"/>
    </row>
    <row r="800" spans="1:16" ht="15.75" customHeight="1">
      <c r="A800" s="53" t="s">
        <v>292</v>
      </c>
      <c r="B800" s="56">
        <f>'Meta calórica'!B146</f>
        <v>22.5</v>
      </c>
      <c r="C800" s="316">
        <f ca="1">'Meta calórica'!C146</f>
        <v>58.80735</v>
      </c>
      <c r="D800" s="317"/>
      <c r="E800" s="138">
        <f ca="1">'Meta calórica'!E146</f>
        <v>6.5341500000000003</v>
      </c>
      <c r="F800" s="53" t="s">
        <v>292</v>
      </c>
      <c r="G800" s="56">
        <f>'Meta calórica'!G146</f>
        <v>22.5</v>
      </c>
      <c r="H800" s="316">
        <f ca="1">'Meta calórica'!H146</f>
        <v>117.6147</v>
      </c>
      <c r="I800" s="317"/>
      <c r="J800" s="138">
        <f ca="1">'Meta calórica'!J146</f>
        <v>13.068300000000001</v>
      </c>
      <c r="K800" s="53" t="s">
        <v>292</v>
      </c>
      <c r="L800" s="56">
        <f>'Meta calórica'!L146</f>
        <v>22.5</v>
      </c>
      <c r="M800" s="316" t="e">
        <f>'Meta calórica'!M146</f>
        <v>#VALUE!</v>
      </c>
      <c r="N800" s="317"/>
      <c r="O800" s="55" t="e">
        <f>'Meta calórica'!O146</f>
        <v>#VALUE!</v>
      </c>
      <c r="P800" s="68"/>
    </row>
    <row r="801" spans="1:16" ht="15.75" customHeight="1">
      <c r="A801" s="53"/>
      <c r="B801" s="55">
        <f>'Meta calórica'!B147</f>
        <v>100</v>
      </c>
      <c r="C801" s="316">
        <f ca="1">'Meta calórica'!C147</f>
        <v>261.36599999999999</v>
      </c>
      <c r="D801" s="317"/>
      <c r="E801" s="139"/>
      <c r="F801" s="53"/>
      <c r="G801" s="55">
        <f>'Meta calórica'!G147</f>
        <v>100</v>
      </c>
      <c r="H801" s="316">
        <f ca="1">'Meta calórica'!H147</f>
        <v>522.73199999999997</v>
      </c>
      <c r="I801" s="317"/>
      <c r="J801" s="139"/>
      <c r="K801" s="53"/>
      <c r="L801" s="55">
        <f>'Meta calórica'!L147</f>
        <v>100</v>
      </c>
      <c r="M801" s="316" t="e">
        <f>'Meta calórica'!M147</f>
        <v>#VALUE!</v>
      </c>
      <c r="N801" s="317"/>
      <c r="O801" s="57"/>
      <c r="P801" s="68"/>
    </row>
    <row r="802" spans="1:16" ht="15.75" customHeight="1">
      <c r="A802" s="68"/>
      <c r="B802" s="68"/>
      <c r="C802" s="68"/>
      <c r="D802" s="68"/>
      <c r="E802" s="68"/>
      <c r="F802" s="68"/>
      <c r="G802" s="68"/>
      <c r="H802" s="68"/>
      <c r="I802" s="68"/>
      <c r="J802" s="68"/>
      <c r="K802" s="68"/>
      <c r="L802" s="68"/>
      <c r="M802" s="68"/>
      <c r="N802" s="68"/>
      <c r="O802" s="68"/>
      <c r="P802" s="68"/>
    </row>
    <row r="803" spans="1:16" ht="15.75" customHeight="1">
      <c r="A803" s="331"/>
      <c r="B803" s="294"/>
      <c r="C803" s="294"/>
      <c r="D803" s="294"/>
      <c r="E803" s="294"/>
      <c r="F803" s="294"/>
      <c r="G803" s="294"/>
      <c r="H803" s="294"/>
      <c r="I803" s="294"/>
      <c r="J803" s="294"/>
      <c r="K803" s="294"/>
      <c r="L803" s="294"/>
      <c r="M803" s="294"/>
      <c r="N803" s="294"/>
      <c r="O803" s="294"/>
      <c r="P803" s="294"/>
    </row>
    <row r="804" spans="1:16" ht="15.75" customHeight="1">
      <c r="A804" s="294"/>
      <c r="B804" s="294"/>
      <c r="C804" s="294"/>
      <c r="D804" s="294"/>
      <c r="E804" s="294"/>
      <c r="F804" s="294"/>
      <c r="G804" s="294"/>
      <c r="H804" s="294"/>
      <c r="I804" s="294"/>
      <c r="J804" s="294"/>
      <c r="K804" s="294"/>
      <c r="L804" s="294"/>
      <c r="M804" s="294"/>
      <c r="N804" s="294"/>
      <c r="O804" s="294"/>
      <c r="P804" s="294"/>
    </row>
    <row r="805" spans="1:16" ht="15.75" customHeight="1">
      <c r="A805" s="294"/>
      <c r="B805" s="294"/>
      <c r="C805" s="294"/>
      <c r="D805" s="294"/>
      <c r="E805" s="294"/>
      <c r="F805" s="294"/>
      <c r="G805" s="294"/>
      <c r="H805" s="294"/>
      <c r="I805" s="294"/>
      <c r="J805" s="294"/>
      <c r="K805" s="294"/>
      <c r="L805" s="294"/>
      <c r="M805" s="294"/>
      <c r="N805" s="294"/>
      <c r="O805" s="294"/>
      <c r="P805" s="294"/>
    </row>
    <row r="806" spans="1:16" ht="15.75" customHeight="1">
      <c r="A806" s="294"/>
      <c r="B806" s="294"/>
      <c r="C806" s="294"/>
      <c r="D806" s="294"/>
      <c r="E806" s="294"/>
      <c r="F806" s="294"/>
      <c r="G806" s="294"/>
      <c r="H806" s="294"/>
      <c r="I806" s="294"/>
      <c r="J806" s="294"/>
      <c r="K806" s="294"/>
      <c r="L806" s="294"/>
      <c r="M806" s="294"/>
      <c r="N806" s="294"/>
      <c r="O806" s="294"/>
      <c r="P806" s="294"/>
    </row>
    <row r="807" spans="1:16" ht="15.75" customHeight="1">
      <c r="A807" s="294"/>
      <c r="B807" s="294"/>
      <c r="C807" s="294"/>
      <c r="D807" s="294"/>
      <c r="E807" s="294"/>
      <c r="F807" s="294"/>
      <c r="G807" s="294"/>
      <c r="H807" s="294"/>
      <c r="I807" s="294"/>
      <c r="J807" s="294"/>
      <c r="K807" s="294"/>
      <c r="L807" s="294"/>
      <c r="M807" s="294"/>
      <c r="N807" s="294"/>
      <c r="O807" s="294"/>
      <c r="P807" s="294"/>
    </row>
    <row r="808" spans="1:16" ht="15.75" customHeight="1">
      <c r="A808" s="294"/>
      <c r="B808" s="294"/>
      <c r="C808" s="294"/>
      <c r="D808" s="294"/>
      <c r="E808" s="294"/>
      <c r="F808" s="294"/>
      <c r="G808" s="294"/>
      <c r="H808" s="294"/>
      <c r="I808" s="294"/>
      <c r="J808" s="294"/>
      <c r="K808" s="294"/>
      <c r="L808" s="294"/>
      <c r="M808" s="294"/>
      <c r="N808" s="294"/>
      <c r="O808" s="294"/>
      <c r="P808" s="294"/>
    </row>
    <row r="809" spans="1:16" ht="15.75" customHeight="1">
      <c r="A809" s="294"/>
      <c r="B809" s="294"/>
      <c r="C809" s="294"/>
      <c r="D809" s="294"/>
      <c r="E809" s="294"/>
      <c r="F809" s="294"/>
      <c r="G809" s="294"/>
      <c r="H809" s="294"/>
      <c r="I809" s="294"/>
      <c r="J809" s="294"/>
      <c r="K809" s="294"/>
      <c r="L809" s="294"/>
      <c r="M809" s="294"/>
      <c r="N809" s="294"/>
      <c r="O809" s="294"/>
      <c r="P809" s="294"/>
    </row>
    <row r="810" spans="1:16" ht="15.75" customHeight="1">
      <c r="A810" s="294"/>
      <c r="B810" s="294"/>
      <c r="C810" s="294"/>
      <c r="D810" s="294"/>
      <c r="E810" s="294"/>
      <c r="F810" s="294"/>
      <c r="G810" s="294"/>
      <c r="H810" s="294"/>
      <c r="I810" s="294"/>
      <c r="J810" s="294"/>
      <c r="K810" s="294"/>
      <c r="L810" s="294"/>
      <c r="M810" s="294"/>
      <c r="N810" s="294"/>
      <c r="O810" s="294"/>
      <c r="P810" s="294"/>
    </row>
    <row r="811" spans="1:16" ht="15.75" customHeight="1">
      <c r="A811" s="294"/>
      <c r="B811" s="294"/>
      <c r="C811" s="294"/>
      <c r="D811" s="294"/>
      <c r="E811" s="294"/>
      <c r="F811" s="294"/>
      <c r="G811" s="294"/>
      <c r="H811" s="294"/>
      <c r="I811" s="294"/>
      <c r="J811" s="294"/>
      <c r="K811" s="294"/>
      <c r="L811" s="294"/>
      <c r="M811" s="294"/>
      <c r="N811" s="294"/>
      <c r="O811" s="294"/>
      <c r="P811" s="294"/>
    </row>
    <row r="812" spans="1:16" ht="15.75" customHeight="1">
      <c r="A812" s="294"/>
      <c r="B812" s="294"/>
      <c r="C812" s="294"/>
      <c r="D812" s="294"/>
      <c r="E812" s="294"/>
      <c r="F812" s="294"/>
      <c r="G812" s="294"/>
      <c r="H812" s="294"/>
      <c r="I812" s="294"/>
      <c r="J812" s="294"/>
      <c r="K812" s="294"/>
      <c r="L812" s="294"/>
      <c r="M812" s="294"/>
      <c r="N812" s="294"/>
      <c r="O812" s="294"/>
      <c r="P812" s="294"/>
    </row>
    <row r="813" spans="1:16" ht="15.75" customHeight="1">
      <c r="A813" s="294"/>
      <c r="B813" s="294"/>
      <c r="C813" s="294"/>
      <c r="D813" s="294"/>
      <c r="E813" s="294"/>
      <c r="F813" s="294"/>
      <c r="G813" s="294"/>
      <c r="H813" s="294"/>
      <c r="I813" s="294"/>
      <c r="J813" s="294"/>
      <c r="K813" s="294"/>
      <c r="L813" s="294"/>
      <c r="M813" s="294"/>
      <c r="N813" s="294"/>
      <c r="O813" s="294"/>
      <c r="P813" s="294"/>
    </row>
    <row r="814" spans="1:16" ht="15.75" customHeight="1">
      <c r="A814" s="294"/>
      <c r="B814" s="294"/>
      <c r="C814" s="294"/>
      <c r="D814" s="294"/>
      <c r="E814" s="294"/>
      <c r="F814" s="294"/>
      <c r="G814" s="294"/>
      <c r="H814" s="294"/>
      <c r="I814" s="294"/>
      <c r="J814" s="294"/>
      <c r="K814" s="294"/>
      <c r="L814" s="294"/>
      <c r="M814" s="294"/>
      <c r="N814" s="294"/>
      <c r="O814" s="294"/>
      <c r="P814" s="294"/>
    </row>
    <row r="815" spans="1:16" ht="15.75" customHeight="1">
      <c r="A815" s="294"/>
      <c r="B815" s="294"/>
      <c r="C815" s="294"/>
      <c r="D815" s="294"/>
      <c r="E815" s="294"/>
      <c r="F815" s="294"/>
      <c r="G815" s="294"/>
      <c r="H815" s="294"/>
      <c r="I815" s="294"/>
      <c r="J815" s="294"/>
      <c r="K815" s="294"/>
      <c r="L815" s="294"/>
      <c r="M815" s="294"/>
      <c r="N815" s="294"/>
      <c r="O815" s="294"/>
      <c r="P815" s="294"/>
    </row>
    <row r="816" spans="1:16" ht="15.75" customHeight="1">
      <c r="A816" s="294"/>
      <c r="B816" s="294"/>
      <c r="C816" s="294"/>
      <c r="D816" s="294"/>
      <c r="E816" s="294"/>
      <c r="F816" s="294"/>
      <c r="G816" s="294"/>
      <c r="H816" s="294"/>
      <c r="I816" s="294"/>
      <c r="J816" s="294"/>
      <c r="K816" s="294"/>
      <c r="L816" s="294"/>
      <c r="M816" s="294"/>
      <c r="N816" s="294"/>
      <c r="O816" s="294"/>
      <c r="P816" s="294"/>
    </row>
    <row r="817" spans="1:16" ht="15.75" customHeight="1">
      <c r="A817" s="294"/>
      <c r="B817" s="294"/>
      <c r="C817" s="294"/>
      <c r="D817" s="294"/>
      <c r="E817" s="294"/>
      <c r="F817" s="294"/>
      <c r="G817" s="294"/>
      <c r="H817" s="294"/>
      <c r="I817" s="294"/>
      <c r="J817" s="294"/>
      <c r="K817" s="294"/>
      <c r="L817" s="294"/>
      <c r="M817" s="294"/>
      <c r="N817" s="294"/>
      <c r="O817" s="294"/>
      <c r="P817" s="294"/>
    </row>
    <row r="818" spans="1:16" ht="15.75" customHeight="1">
      <c r="A818" s="294"/>
      <c r="B818" s="294"/>
      <c r="C818" s="294"/>
      <c r="D818" s="294"/>
      <c r="E818" s="294"/>
      <c r="F818" s="294"/>
      <c r="G818" s="294"/>
      <c r="H818" s="294"/>
      <c r="I818" s="294"/>
      <c r="J818" s="294"/>
      <c r="K818" s="294"/>
      <c r="L818" s="294"/>
      <c r="M818" s="294"/>
      <c r="N818" s="294"/>
      <c r="O818" s="294"/>
      <c r="P818" s="294"/>
    </row>
    <row r="819" spans="1:16" ht="15.75" customHeight="1">
      <c r="A819" s="294"/>
      <c r="B819" s="294"/>
      <c r="C819" s="294"/>
      <c r="D819" s="294"/>
      <c r="E819" s="294"/>
      <c r="F819" s="294"/>
      <c r="G819" s="294"/>
      <c r="H819" s="294"/>
      <c r="I819" s="294"/>
      <c r="J819" s="294"/>
      <c r="K819" s="294"/>
      <c r="L819" s="294"/>
      <c r="M819" s="294"/>
      <c r="N819" s="294"/>
      <c r="O819" s="294"/>
      <c r="P819" s="294"/>
    </row>
    <row r="820" spans="1:16" ht="15.75" customHeight="1">
      <c r="A820" s="392" t="s">
        <v>453</v>
      </c>
      <c r="B820" s="294"/>
      <c r="C820" s="294"/>
      <c r="D820" s="294"/>
      <c r="E820" s="294"/>
      <c r="F820" s="294"/>
      <c r="G820" s="294"/>
      <c r="H820" s="294"/>
      <c r="I820" s="294"/>
      <c r="J820" s="294"/>
      <c r="K820" s="294"/>
      <c r="L820" s="294"/>
      <c r="M820" s="294"/>
      <c r="N820" s="294"/>
      <c r="O820" s="294"/>
      <c r="P820" s="294"/>
    </row>
    <row r="821" spans="1:16" ht="15.75" customHeight="1">
      <c r="A821" s="294"/>
      <c r="B821" s="294"/>
      <c r="C821" s="294"/>
      <c r="D821" s="294"/>
      <c r="E821" s="294"/>
      <c r="F821" s="294"/>
      <c r="G821" s="294"/>
      <c r="H821" s="294"/>
      <c r="I821" s="294"/>
      <c r="J821" s="294"/>
      <c r="K821" s="294"/>
      <c r="L821" s="294"/>
      <c r="M821" s="294"/>
      <c r="N821" s="294"/>
      <c r="O821" s="294"/>
      <c r="P821" s="294"/>
    </row>
    <row r="822" spans="1:16" ht="15.75" customHeight="1">
      <c r="A822" s="350" t="s">
        <v>454</v>
      </c>
      <c r="B822" s="319"/>
      <c r="C822" s="319"/>
      <c r="D822" s="431" t="str">
        <f>$D$100</f>
        <v>Av1</v>
      </c>
      <c r="E822" s="319"/>
      <c r="F822" s="319"/>
      <c r="G822" s="319"/>
      <c r="H822" s="319"/>
      <c r="I822" s="319"/>
      <c r="J822" s="432"/>
      <c r="K822" s="431" t="str">
        <f ca="1">OFFSET('BD tratado'!$D$1,,'BD tratado'!$A$147)</f>
        <v>Av15</v>
      </c>
      <c r="L822" s="319"/>
      <c r="M822" s="319"/>
      <c r="N822" s="319"/>
      <c r="O822" s="319"/>
      <c r="P822" s="319"/>
    </row>
    <row r="823" spans="1:16" ht="15.75" customHeight="1">
      <c r="A823" s="317"/>
      <c r="B823" s="317"/>
      <c r="C823" s="317"/>
      <c r="D823" s="365">
        <f ca="1">OFFSET('BD tratado'!$D$2,,MATCH(D822,BD!$B$1:$I$1,0))</f>
        <v>44517</v>
      </c>
      <c r="E823" s="317"/>
      <c r="F823" s="317"/>
      <c r="G823" s="317"/>
      <c r="H823" s="317"/>
      <c r="I823" s="317"/>
      <c r="J823" s="317"/>
      <c r="K823" s="398" t="e">
        <f ca="1">OFFSET('BD tratado'!$D$2,,MATCH(K822,BD!$B$1:$I$1,0))</f>
        <v>#N/A</v>
      </c>
      <c r="L823" s="317"/>
      <c r="M823" s="317"/>
      <c r="N823" s="317"/>
      <c r="O823" s="317"/>
      <c r="P823" s="317"/>
    </row>
    <row r="824" spans="1:16" ht="15.75" customHeight="1">
      <c r="A824" s="313" t="s">
        <v>324</v>
      </c>
      <c r="B824" s="294"/>
      <c r="C824" s="294"/>
      <c r="D824" s="331">
        <f ca="1">OFFSET(Imagens!$A$10,0,MATCH(D$822,BD!$B$1:$P$1,0))</f>
        <v>0</v>
      </c>
      <c r="E824" s="294"/>
      <c r="F824" s="294"/>
      <c r="G824" s="294"/>
      <c r="H824" s="294"/>
      <c r="I824" s="294"/>
      <c r="J824" s="68"/>
      <c r="K824" s="331">
        <f ca="1">OFFSET(Imagens!$A$10,0,MATCH(K$822,BD!$B$1:$P$1,0))</f>
        <v>0</v>
      </c>
      <c r="L824" s="294"/>
      <c r="M824" s="294"/>
      <c r="N824" s="294"/>
      <c r="O824" s="294"/>
      <c r="P824" s="294"/>
    </row>
    <row r="825" spans="1:16" ht="15.75" customHeight="1">
      <c r="A825" s="294"/>
      <c r="B825" s="294"/>
      <c r="C825" s="294"/>
      <c r="D825" s="294"/>
      <c r="E825" s="294"/>
      <c r="F825" s="294"/>
      <c r="G825" s="294"/>
      <c r="H825" s="294"/>
      <c r="I825" s="294"/>
      <c r="J825" s="68"/>
      <c r="K825" s="294"/>
      <c r="L825" s="294"/>
      <c r="M825" s="294"/>
      <c r="N825" s="294"/>
      <c r="O825" s="294"/>
      <c r="P825" s="294"/>
    </row>
    <row r="826" spans="1:16" ht="15.75" customHeight="1">
      <c r="A826" s="294"/>
      <c r="B826" s="294"/>
      <c r="C826" s="294"/>
      <c r="D826" s="294"/>
      <c r="E826" s="294"/>
      <c r="F826" s="294"/>
      <c r="G826" s="294"/>
      <c r="H826" s="294"/>
      <c r="I826" s="294"/>
      <c r="J826" s="68"/>
      <c r="K826" s="294"/>
      <c r="L826" s="294"/>
      <c r="M826" s="294"/>
      <c r="N826" s="294"/>
      <c r="O826" s="294"/>
      <c r="P826" s="294"/>
    </row>
    <row r="827" spans="1:16" ht="15.75" customHeight="1">
      <c r="A827" s="294"/>
      <c r="B827" s="294"/>
      <c r="C827" s="294"/>
      <c r="D827" s="294"/>
      <c r="E827" s="294"/>
      <c r="F827" s="294"/>
      <c r="G827" s="294"/>
      <c r="H827" s="294"/>
      <c r="I827" s="294"/>
      <c r="J827" s="68"/>
      <c r="K827" s="294"/>
      <c r="L827" s="294"/>
      <c r="M827" s="294"/>
      <c r="N827" s="294"/>
      <c r="O827" s="294"/>
      <c r="P827" s="294"/>
    </row>
    <row r="828" spans="1:16" ht="15.75" customHeight="1">
      <c r="A828" s="294"/>
      <c r="B828" s="294"/>
      <c r="C828" s="294"/>
      <c r="D828" s="294"/>
      <c r="E828" s="294"/>
      <c r="F828" s="294"/>
      <c r="G828" s="294"/>
      <c r="H828" s="294"/>
      <c r="I828" s="294"/>
      <c r="J828" s="68"/>
      <c r="K828" s="294"/>
      <c r="L828" s="294"/>
      <c r="M828" s="294"/>
      <c r="N828" s="294"/>
      <c r="O828" s="294"/>
      <c r="P828" s="294"/>
    </row>
    <row r="829" spans="1:16" ht="15.75" customHeight="1">
      <c r="A829" s="294"/>
      <c r="B829" s="294"/>
      <c r="C829" s="294"/>
      <c r="D829" s="294"/>
      <c r="E829" s="294"/>
      <c r="F829" s="294"/>
      <c r="G829" s="294"/>
      <c r="H829" s="294"/>
      <c r="I829" s="294"/>
      <c r="J829" s="68"/>
      <c r="K829" s="294"/>
      <c r="L829" s="294"/>
      <c r="M829" s="294"/>
      <c r="N829" s="294"/>
      <c r="O829" s="294"/>
      <c r="P829" s="294"/>
    </row>
    <row r="830" spans="1:16" ht="15.75" customHeight="1">
      <c r="A830" s="294"/>
      <c r="B830" s="294"/>
      <c r="C830" s="294"/>
      <c r="D830" s="294"/>
      <c r="E830" s="294"/>
      <c r="F830" s="294"/>
      <c r="G830" s="294"/>
      <c r="H830" s="294"/>
      <c r="I830" s="294"/>
      <c r="J830" s="68"/>
      <c r="K830" s="294"/>
      <c r="L830" s="294"/>
      <c r="M830" s="294"/>
      <c r="N830" s="294"/>
      <c r="O830" s="294"/>
      <c r="P830" s="294"/>
    </row>
    <row r="831" spans="1:16" ht="15.75" customHeight="1">
      <c r="A831" s="294"/>
      <c r="B831" s="294"/>
      <c r="C831" s="294"/>
      <c r="D831" s="294"/>
      <c r="E831" s="294"/>
      <c r="F831" s="294"/>
      <c r="G831" s="294"/>
      <c r="H831" s="294"/>
      <c r="I831" s="294"/>
      <c r="J831" s="68"/>
      <c r="K831" s="294"/>
      <c r="L831" s="294"/>
      <c r="M831" s="294"/>
      <c r="N831" s="294"/>
      <c r="O831" s="294"/>
      <c r="P831" s="294"/>
    </row>
    <row r="832" spans="1:16" ht="15.75" customHeight="1">
      <c r="A832" s="294"/>
      <c r="B832" s="294"/>
      <c r="C832" s="294"/>
      <c r="D832" s="294"/>
      <c r="E832" s="294"/>
      <c r="F832" s="294"/>
      <c r="G832" s="294"/>
      <c r="H832" s="294"/>
      <c r="I832" s="294"/>
      <c r="J832" s="68"/>
      <c r="K832" s="294"/>
      <c r="L832" s="294"/>
      <c r="M832" s="294"/>
      <c r="N832" s="294"/>
      <c r="O832" s="294"/>
      <c r="P832" s="294"/>
    </row>
    <row r="833" spans="1:16" ht="15.75" customHeight="1">
      <c r="A833" s="294"/>
      <c r="B833" s="294"/>
      <c r="C833" s="294"/>
      <c r="D833" s="294"/>
      <c r="E833" s="294"/>
      <c r="F833" s="294"/>
      <c r="G833" s="294"/>
      <c r="H833" s="294"/>
      <c r="I833" s="294"/>
      <c r="J833" s="68"/>
      <c r="K833" s="294"/>
      <c r="L833" s="294"/>
      <c r="M833" s="294"/>
      <c r="N833" s="294"/>
      <c r="O833" s="294"/>
      <c r="P833" s="294"/>
    </row>
    <row r="834" spans="1:16" ht="15.75" customHeight="1">
      <c r="A834" s="294"/>
      <c r="B834" s="294"/>
      <c r="C834" s="294"/>
      <c r="D834" s="294"/>
      <c r="E834" s="294"/>
      <c r="F834" s="294"/>
      <c r="G834" s="294"/>
      <c r="H834" s="294"/>
      <c r="I834" s="294"/>
      <c r="J834" s="68"/>
      <c r="K834" s="294"/>
      <c r="L834" s="294"/>
      <c r="M834" s="294"/>
      <c r="N834" s="294"/>
      <c r="O834" s="294"/>
      <c r="P834" s="294"/>
    </row>
    <row r="835" spans="1:16" ht="15.75" customHeight="1">
      <c r="A835" s="294"/>
      <c r="B835" s="294"/>
      <c r="C835" s="294"/>
      <c r="D835" s="294"/>
      <c r="E835" s="294"/>
      <c r="F835" s="294"/>
      <c r="G835" s="294"/>
      <c r="H835" s="294"/>
      <c r="I835" s="294"/>
      <c r="J835" s="68"/>
      <c r="K835" s="294"/>
      <c r="L835" s="294"/>
      <c r="M835" s="294"/>
      <c r="N835" s="294"/>
      <c r="O835" s="294"/>
      <c r="P835" s="294"/>
    </row>
    <row r="836" spans="1:16" ht="15.75" customHeight="1">
      <c r="A836" s="294"/>
      <c r="B836" s="294"/>
      <c r="C836" s="294"/>
      <c r="D836" s="294"/>
      <c r="E836" s="294"/>
      <c r="F836" s="294"/>
      <c r="G836" s="294"/>
      <c r="H836" s="294"/>
      <c r="I836" s="294"/>
      <c r="J836" s="68"/>
      <c r="K836" s="294"/>
      <c r="L836" s="294"/>
      <c r="M836" s="294"/>
      <c r="N836" s="294"/>
      <c r="O836" s="294"/>
      <c r="P836" s="294"/>
    </row>
    <row r="837" spans="1:16" ht="15.75" customHeight="1">
      <c r="A837" s="294"/>
      <c r="B837" s="294"/>
      <c r="C837" s="294"/>
      <c r="D837" s="294"/>
      <c r="E837" s="294"/>
      <c r="F837" s="294"/>
      <c r="G837" s="294"/>
      <c r="H837" s="294"/>
      <c r="I837" s="294"/>
      <c r="J837" s="68"/>
      <c r="K837" s="294"/>
      <c r="L837" s="294"/>
      <c r="M837" s="294"/>
      <c r="N837" s="294"/>
      <c r="O837" s="294"/>
      <c r="P837" s="294"/>
    </row>
    <row r="838" spans="1:16" ht="15.75" customHeight="1">
      <c r="A838" s="294"/>
      <c r="B838" s="294"/>
      <c r="C838" s="294"/>
      <c r="D838" s="294"/>
      <c r="E838" s="294"/>
      <c r="F838" s="294"/>
      <c r="G838" s="294"/>
      <c r="H838" s="294"/>
      <c r="I838" s="294"/>
      <c r="J838" s="68"/>
      <c r="K838" s="294"/>
      <c r="L838" s="294"/>
      <c r="M838" s="294"/>
      <c r="N838" s="294"/>
      <c r="O838" s="294"/>
      <c r="P838" s="294"/>
    </row>
    <row r="839" spans="1:16" ht="15.75" customHeight="1">
      <c r="A839" s="294"/>
      <c r="B839" s="294"/>
      <c r="C839" s="294"/>
      <c r="D839" s="294"/>
      <c r="E839" s="294"/>
      <c r="F839" s="294"/>
      <c r="G839" s="294"/>
      <c r="H839" s="294"/>
      <c r="I839" s="294"/>
      <c r="J839" s="68"/>
      <c r="K839" s="294"/>
      <c r="L839" s="294"/>
      <c r="M839" s="294"/>
      <c r="N839" s="294"/>
      <c r="O839" s="294"/>
      <c r="P839" s="294"/>
    </row>
    <row r="840" spans="1:16" ht="15.75" customHeight="1">
      <c r="A840" s="294"/>
      <c r="B840" s="294"/>
      <c r="C840" s="294"/>
      <c r="D840" s="294"/>
      <c r="E840" s="294"/>
      <c r="F840" s="294"/>
      <c r="G840" s="294"/>
      <c r="H840" s="294"/>
      <c r="I840" s="294"/>
      <c r="J840" s="68"/>
      <c r="K840" s="294"/>
      <c r="L840" s="294"/>
      <c r="M840" s="294"/>
      <c r="N840" s="294"/>
      <c r="O840" s="294"/>
      <c r="P840" s="294"/>
    </row>
    <row r="841" spans="1:16" ht="15.75" customHeight="1">
      <c r="A841" s="294"/>
      <c r="B841" s="294"/>
      <c r="C841" s="294"/>
      <c r="D841" s="294"/>
      <c r="E841" s="294"/>
      <c r="F841" s="294"/>
      <c r="G841" s="294"/>
      <c r="H841" s="294"/>
      <c r="I841" s="294"/>
      <c r="J841" s="68"/>
      <c r="K841" s="294"/>
      <c r="L841" s="294"/>
      <c r="M841" s="294"/>
      <c r="N841" s="294"/>
      <c r="O841" s="294"/>
      <c r="P841" s="294"/>
    </row>
    <row r="842" spans="1:16" ht="15.75" customHeight="1">
      <c r="A842" s="294"/>
      <c r="B842" s="294"/>
      <c r="C842" s="294"/>
      <c r="D842" s="294"/>
      <c r="E842" s="294"/>
      <c r="F842" s="294"/>
      <c r="G842" s="294"/>
      <c r="H842" s="294"/>
      <c r="I842" s="294"/>
      <c r="J842" s="68"/>
      <c r="K842" s="294"/>
      <c r="L842" s="294"/>
      <c r="M842" s="294"/>
      <c r="N842" s="294"/>
      <c r="O842" s="294"/>
      <c r="P842" s="294"/>
    </row>
    <row r="844" spans="1:16" ht="15.75" customHeight="1">
      <c r="A844" s="313" t="s">
        <v>331</v>
      </c>
      <c r="B844" s="294"/>
      <c r="C844" s="294"/>
      <c r="D844" s="331">
        <f ca="1">OFFSET(Imagens!$A$18,0,MATCH(D$822,BD!$B$1:$P$1,0))</f>
        <v>0</v>
      </c>
      <c r="E844" s="294"/>
      <c r="F844" s="294"/>
      <c r="G844" s="294"/>
      <c r="H844" s="294"/>
      <c r="I844" s="294"/>
      <c r="J844" s="68"/>
      <c r="K844" s="331">
        <f ca="1">OFFSET(Imagens!$A$18,0,MATCH(K$822,BD!$B$1:$P$1,0))</f>
        <v>0</v>
      </c>
      <c r="L844" s="294"/>
      <c r="M844" s="294"/>
      <c r="N844" s="294"/>
      <c r="O844" s="294"/>
      <c r="P844" s="294"/>
    </row>
    <row r="845" spans="1:16" ht="15.75" customHeight="1">
      <c r="A845" s="294"/>
      <c r="B845" s="294"/>
      <c r="C845" s="294"/>
      <c r="D845" s="294"/>
      <c r="E845" s="294"/>
      <c r="F845" s="294"/>
      <c r="G845" s="294"/>
      <c r="H845" s="294"/>
      <c r="I845" s="294"/>
      <c r="J845" s="68"/>
      <c r="K845" s="294"/>
      <c r="L845" s="294"/>
      <c r="M845" s="294"/>
      <c r="N845" s="294"/>
      <c r="O845" s="294"/>
      <c r="P845" s="294"/>
    </row>
    <row r="846" spans="1:16" ht="15.75" customHeight="1">
      <c r="A846" s="294"/>
      <c r="B846" s="294"/>
      <c r="C846" s="294"/>
      <c r="D846" s="294"/>
      <c r="E846" s="294"/>
      <c r="F846" s="294"/>
      <c r="G846" s="294"/>
      <c r="H846" s="294"/>
      <c r="I846" s="294"/>
      <c r="J846" s="68"/>
      <c r="K846" s="294"/>
      <c r="L846" s="294"/>
      <c r="M846" s="294"/>
      <c r="N846" s="294"/>
      <c r="O846" s="294"/>
      <c r="P846" s="294"/>
    </row>
    <row r="847" spans="1:16" ht="15.75" customHeight="1">
      <c r="A847" s="294"/>
      <c r="B847" s="294"/>
      <c r="C847" s="294"/>
      <c r="D847" s="294"/>
      <c r="E847" s="294"/>
      <c r="F847" s="294"/>
      <c r="G847" s="294"/>
      <c r="H847" s="294"/>
      <c r="I847" s="294"/>
      <c r="J847" s="68"/>
      <c r="K847" s="294"/>
      <c r="L847" s="294"/>
      <c r="M847" s="294"/>
      <c r="N847" s="294"/>
      <c r="O847" s="294"/>
      <c r="P847" s="294"/>
    </row>
    <row r="848" spans="1:16" ht="15.75" customHeight="1">
      <c r="A848" s="294"/>
      <c r="B848" s="294"/>
      <c r="C848" s="294"/>
      <c r="D848" s="294"/>
      <c r="E848" s="294"/>
      <c r="F848" s="294"/>
      <c r="G848" s="294"/>
      <c r="H848" s="294"/>
      <c r="I848" s="294"/>
      <c r="J848" s="68"/>
      <c r="K848" s="294"/>
      <c r="L848" s="294"/>
      <c r="M848" s="294"/>
      <c r="N848" s="294"/>
      <c r="O848" s="294"/>
      <c r="P848" s="294"/>
    </row>
    <row r="849" spans="1:16" ht="15.75" customHeight="1">
      <c r="A849" s="294"/>
      <c r="B849" s="294"/>
      <c r="C849" s="294"/>
      <c r="D849" s="294"/>
      <c r="E849" s="294"/>
      <c r="F849" s="294"/>
      <c r="G849" s="294"/>
      <c r="H849" s="294"/>
      <c r="I849" s="294"/>
      <c r="J849" s="68"/>
      <c r="K849" s="294"/>
      <c r="L849" s="294"/>
      <c r="M849" s="294"/>
      <c r="N849" s="294"/>
      <c r="O849" s="294"/>
      <c r="P849" s="294"/>
    </row>
    <row r="850" spans="1:16" ht="15.75" customHeight="1">
      <c r="A850" s="294"/>
      <c r="B850" s="294"/>
      <c r="C850" s="294"/>
      <c r="D850" s="294"/>
      <c r="E850" s="294"/>
      <c r="F850" s="294"/>
      <c r="G850" s="294"/>
      <c r="H850" s="294"/>
      <c r="I850" s="294"/>
      <c r="J850" s="68"/>
      <c r="K850" s="294"/>
      <c r="L850" s="294"/>
      <c r="M850" s="294"/>
      <c r="N850" s="294"/>
      <c r="O850" s="294"/>
      <c r="P850" s="294"/>
    </row>
    <row r="851" spans="1:16" ht="15.75" customHeight="1">
      <c r="A851" s="294"/>
      <c r="B851" s="294"/>
      <c r="C851" s="294"/>
      <c r="D851" s="294"/>
      <c r="E851" s="294"/>
      <c r="F851" s="294"/>
      <c r="G851" s="294"/>
      <c r="H851" s="294"/>
      <c r="I851" s="294"/>
      <c r="J851" s="68"/>
      <c r="K851" s="294"/>
      <c r="L851" s="294"/>
      <c r="M851" s="294"/>
      <c r="N851" s="294"/>
      <c r="O851" s="294"/>
      <c r="P851" s="294"/>
    </row>
    <row r="852" spans="1:16" ht="15.75" customHeight="1">
      <c r="A852" s="294"/>
      <c r="B852" s="294"/>
      <c r="C852" s="294"/>
      <c r="D852" s="294"/>
      <c r="E852" s="294"/>
      <c r="F852" s="294"/>
      <c r="G852" s="294"/>
      <c r="H852" s="294"/>
      <c r="I852" s="294"/>
      <c r="J852" s="68"/>
      <c r="K852" s="294"/>
      <c r="L852" s="294"/>
      <c r="M852" s="294"/>
      <c r="N852" s="294"/>
      <c r="O852" s="294"/>
      <c r="P852" s="294"/>
    </row>
    <row r="853" spans="1:16" ht="15.75" customHeight="1">
      <c r="A853" s="294"/>
      <c r="B853" s="294"/>
      <c r="C853" s="294"/>
      <c r="D853" s="294"/>
      <c r="E853" s="294"/>
      <c r="F853" s="294"/>
      <c r="G853" s="294"/>
      <c r="H853" s="294"/>
      <c r="I853" s="294"/>
      <c r="J853" s="68"/>
      <c r="K853" s="294"/>
      <c r="L853" s="294"/>
      <c r="M853" s="294"/>
      <c r="N853" s="294"/>
      <c r="O853" s="294"/>
      <c r="P853" s="294"/>
    </row>
    <row r="854" spans="1:16" ht="15.75" customHeight="1">
      <c r="A854" s="294"/>
      <c r="B854" s="294"/>
      <c r="C854" s="294"/>
      <c r="D854" s="294"/>
      <c r="E854" s="294"/>
      <c r="F854" s="294"/>
      <c r="G854" s="294"/>
      <c r="H854" s="294"/>
      <c r="I854" s="294"/>
      <c r="J854" s="68"/>
      <c r="K854" s="294"/>
      <c r="L854" s="294"/>
      <c r="M854" s="294"/>
      <c r="N854" s="294"/>
      <c r="O854" s="294"/>
      <c r="P854" s="294"/>
    </row>
    <row r="855" spans="1:16" ht="15.75" customHeight="1">
      <c r="A855" s="294"/>
      <c r="B855" s="294"/>
      <c r="C855" s="294"/>
      <c r="D855" s="294"/>
      <c r="E855" s="294"/>
      <c r="F855" s="294"/>
      <c r="G855" s="294"/>
      <c r="H855" s="294"/>
      <c r="I855" s="294"/>
      <c r="J855" s="68"/>
      <c r="K855" s="294"/>
      <c r="L855" s="294"/>
      <c r="M855" s="294"/>
      <c r="N855" s="294"/>
      <c r="O855" s="294"/>
      <c r="P855" s="294"/>
    </row>
    <row r="856" spans="1:16" ht="15.75" customHeight="1">
      <c r="A856" s="294"/>
      <c r="B856" s="294"/>
      <c r="C856" s="294"/>
      <c r="D856" s="294"/>
      <c r="E856" s="294"/>
      <c r="F856" s="294"/>
      <c r="G856" s="294"/>
      <c r="H856" s="294"/>
      <c r="I856" s="294"/>
      <c r="J856" s="68"/>
      <c r="K856" s="294"/>
      <c r="L856" s="294"/>
      <c r="M856" s="294"/>
      <c r="N856" s="294"/>
      <c r="O856" s="294"/>
      <c r="P856" s="294"/>
    </row>
    <row r="857" spans="1:16" ht="15.75" customHeight="1">
      <c r="A857" s="294"/>
      <c r="B857" s="294"/>
      <c r="C857" s="294"/>
      <c r="D857" s="294"/>
      <c r="E857" s="294"/>
      <c r="F857" s="294"/>
      <c r="G857" s="294"/>
      <c r="H857" s="294"/>
      <c r="I857" s="294"/>
      <c r="J857" s="68"/>
      <c r="K857" s="294"/>
      <c r="L857" s="294"/>
      <c r="M857" s="294"/>
      <c r="N857" s="294"/>
      <c r="O857" s="294"/>
      <c r="P857" s="294"/>
    </row>
    <row r="858" spans="1:16" ht="15.75" customHeight="1">
      <c r="A858" s="294"/>
      <c r="B858" s="294"/>
      <c r="C858" s="294"/>
      <c r="D858" s="294"/>
      <c r="E858" s="294"/>
      <c r="F858" s="294"/>
      <c r="G858" s="294"/>
      <c r="H858" s="294"/>
      <c r="I858" s="294"/>
      <c r="J858" s="68"/>
      <c r="K858" s="294"/>
      <c r="L858" s="294"/>
      <c r="M858" s="294"/>
      <c r="N858" s="294"/>
      <c r="O858" s="294"/>
      <c r="P858" s="294"/>
    </row>
    <row r="859" spans="1:16" ht="15.75" customHeight="1">
      <c r="A859" s="294"/>
      <c r="B859" s="294"/>
      <c r="C859" s="294"/>
      <c r="D859" s="294"/>
      <c r="E859" s="294"/>
      <c r="F859" s="294"/>
      <c r="G859" s="294"/>
      <c r="H859" s="294"/>
      <c r="I859" s="294"/>
      <c r="J859" s="68"/>
      <c r="K859" s="294"/>
      <c r="L859" s="294"/>
      <c r="M859" s="294"/>
      <c r="N859" s="294"/>
      <c r="O859" s="294"/>
      <c r="P859" s="294"/>
    </row>
    <row r="860" spans="1:16" ht="15.75" customHeight="1">
      <c r="A860" s="294"/>
      <c r="B860" s="294"/>
      <c r="C860" s="294"/>
      <c r="D860" s="294"/>
      <c r="E860" s="294"/>
      <c r="F860" s="294"/>
      <c r="G860" s="294"/>
      <c r="H860" s="294"/>
      <c r="I860" s="294"/>
      <c r="J860" s="68"/>
      <c r="K860" s="294"/>
      <c r="L860" s="294"/>
      <c r="M860" s="294"/>
      <c r="N860" s="294"/>
      <c r="O860" s="294"/>
      <c r="P860" s="294"/>
    </row>
    <row r="861" spans="1:16" ht="15.75" customHeight="1">
      <c r="A861" s="294"/>
      <c r="B861" s="294"/>
      <c r="C861" s="294"/>
      <c r="D861" s="294"/>
      <c r="E861" s="294"/>
      <c r="F861" s="294"/>
      <c r="G861" s="294"/>
      <c r="H861" s="294"/>
      <c r="I861" s="294"/>
      <c r="J861" s="68"/>
      <c r="K861" s="294"/>
      <c r="L861" s="294"/>
      <c r="M861" s="294"/>
      <c r="N861" s="294"/>
      <c r="O861" s="294"/>
      <c r="P861" s="294"/>
    </row>
    <row r="862" spans="1:16" ht="15.75" customHeight="1">
      <c r="A862" s="294"/>
      <c r="B862" s="294"/>
      <c r="C862" s="294"/>
      <c r="D862" s="294"/>
      <c r="E862" s="294"/>
      <c r="F862" s="294"/>
      <c r="G862" s="294"/>
      <c r="H862" s="294"/>
      <c r="I862" s="294"/>
      <c r="J862" s="68"/>
      <c r="K862" s="294"/>
      <c r="L862" s="294"/>
      <c r="M862" s="294"/>
      <c r="N862" s="294"/>
      <c r="O862" s="294"/>
      <c r="P862" s="294"/>
    </row>
    <row r="863" spans="1:16" ht="15.75" customHeight="1">
      <c r="A863" s="392" t="s">
        <v>453</v>
      </c>
      <c r="B863" s="294"/>
      <c r="C863" s="294"/>
      <c r="D863" s="294"/>
      <c r="E863" s="294"/>
      <c r="F863" s="294"/>
      <c r="G863" s="294"/>
      <c r="H863" s="294"/>
      <c r="I863" s="294"/>
      <c r="J863" s="294"/>
      <c r="K863" s="294"/>
      <c r="L863" s="294"/>
      <c r="M863" s="294"/>
      <c r="N863" s="294"/>
      <c r="O863" s="294"/>
      <c r="P863" s="294"/>
    </row>
    <row r="864" spans="1:16" ht="15.75" customHeight="1">
      <c r="A864" s="294"/>
      <c r="B864" s="294"/>
      <c r="C864" s="294"/>
      <c r="D864" s="294"/>
      <c r="E864" s="294"/>
      <c r="F864" s="294"/>
      <c r="G864" s="294"/>
      <c r="H864" s="294"/>
      <c r="I864" s="294"/>
      <c r="J864" s="294"/>
      <c r="K864" s="294"/>
      <c r="L864" s="294"/>
      <c r="M864" s="294"/>
      <c r="N864" s="294"/>
      <c r="O864" s="294"/>
      <c r="P864" s="294"/>
    </row>
    <row r="865" spans="1:16" ht="15.75" customHeight="1">
      <c r="A865" s="350" t="s">
        <v>455</v>
      </c>
      <c r="B865" s="319"/>
      <c r="C865" s="319"/>
      <c r="D865" s="431" t="str">
        <f t="shared" ref="D865:D866" si="25">D822</f>
        <v>Av1</v>
      </c>
      <c r="E865" s="319"/>
      <c r="F865" s="319"/>
      <c r="G865" s="319"/>
      <c r="H865" s="319"/>
      <c r="I865" s="319"/>
      <c r="J865" s="432" t="s">
        <v>39</v>
      </c>
      <c r="K865" s="431" t="str">
        <f t="shared" ref="K865:K866" ca="1" si="26">K822</f>
        <v>Av15</v>
      </c>
      <c r="L865" s="319"/>
      <c r="M865" s="319"/>
      <c r="N865" s="319"/>
      <c r="O865" s="319"/>
      <c r="P865" s="319"/>
    </row>
    <row r="866" spans="1:16" ht="15.75" customHeight="1">
      <c r="A866" s="317"/>
      <c r="B866" s="317"/>
      <c r="C866" s="317"/>
      <c r="D866" s="365">
        <f t="shared" ca="1" si="25"/>
        <v>44517</v>
      </c>
      <c r="E866" s="317"/>
      <c r="F866" s="317"/>
      <c r="G866" s="317"/>
      <c r="H866" s="317"/>
      <c r="I866" s="317"/>
      <c r="J866" s="317"/>
      <c r="K866" s="398" t="e">
        <f t="shared" ca="1" si="26"/>
        <v>#N/A</v>
      </c>
      <c r="L866" s="317"/>
      <c r="M866" s="317"/>
      <c r="N866" s="317"/>
      <c r="O866" s="317"/>
      <c r="P866" s="317"/>
    </row>
    <row r="867" spans="1:16" ht="15.75" customHeight="1">
      <c r="A867" s="433" t="s">
        <v>456</v>
      </c>
      <c r="B867" s="294"/>
      <c r="C867" s="294"/>
      <c r="D867" s="331" t="str">
        <f ca="1">OFFSET(BD!$A$150,0,MATCH(D$865,BD!$B$1:$P$1,0))</f>
        <v>-</v>
      </c>
      <c r="E867" s="294"/>
      <c r="F867" s="294"/>
      <c r="G867" s="294"/>
      <c r="H867" s="294"/>
      <c r="I867" s="294"/>
      <c r="J867" s="434" t="str">
        <f ca="1">IF(OR(D867="-",K867="-"),"-",(K867-D867)*100/D867)</f>
        <v>-</v>
      </c>
      <c r="K867" s="331" t="str">
        <f ca="1">OFFSET(BD!$A$150,0,MATCH(K$865,BD!$B$1:$P$1,0))</f>
        <v>-</v>
      </c>
      <c r="L867" s="294"/>
      <c r="M867" s="294"/>
      <c r="N867" s="294"/>
      <c r="O867" s="294"/>
      <c r="P867" s="294"/>
    </row>
    <row r="868" spans="1:16" ht="15.75" customHeight="1">
      <c r="A868" s="294"/>
      <c r="B868" s="294"/>
      <c r="C868" s="294"/>
      <c r="D868" s="294"/>
      <c r="E868" s="294"/>
      <c r="F868" s="294"/>
      <c r="G868" s="294"/>
      <c r="H868" s="294"/>
      <c r="I868" s="294"/>
      <c r="J868" s="294"/>
      <c r="K868" s="294"/>
      <c r="L868" s="294"/>
      <c r="M868" s="294"/>
      <c r="N868" s="294"/>
      <c r="O868" s="294"/>
      <c r="P868" s="294"/>
    </row>
    <row r="869" spans="1:16" ht="15.75" customHeight="1">
      <c r="A869" s="294"/>
      <c r="B869" s="294"/>
      <c r="C869" s="294"/>
      <c r="D869" s="294"/>
      <c r="E869" s="294"/>
      <c r="F869" s="294"/>
      <c r="G869" s="294"/>
      <c r="H869" s="294"/>
      <c r="I869" s="294"/>
      <c r="J869" s="294"/>
      <c r="K869" s="294"/>
      <c r="L869" s="294"/>
      <c r="M869" s="294"/>
      <c r="N869" s="294"/>
      <c r="O869" s="294"/>
      <c r="P869" s="294"/>
    </row>
    <row r="870" spans="1:16" ht="15.75" customHeight="1">
      <c r="A870" s="433" t="s">
        <v>457</v>
      </c>
      <c r="B870" s="294"/>
      <c r="C870" s="294"/>
      <c r="D870" s="331" t="str">
        <f ca="1">OFFSET(BD!$A$151,0,MATCH(D$865,BD!$B$1:$P$1,0))</f>
        <v>-</v>
      </c>
      <c r="E870" s="294"/>
      <c r="F870" s="294"/>
      <c r="G870" s="294"/>
      <c r="H870" s="294"/>
      <c r="I870" s="294"/>
      <c r="J870" s="434" t="str">
        <f ca="1">IF(OR(D870="-",K870="-"),"-",(K870-D870)*100/D870)</f>
        <v>-</v>
      </c>
      <c r="K870" s="331" t="str">
        <f ca="1">OFFSET(BD!$A$151,0,MATCH(K$865,BD!$B$1:$P$1,0))</f>
        <v>-</v>
      </c>
      <c r="L870" s="294"/>
      <c r="M870" s="294"/>
      <c r="N870" s="294"/>
      <c r="O870" s="294"/>
      <c r="P870" s="294"/>
    </row>
    <row r="871" spans="1:16" ht="15.75" customHeight="1">
      <c r="A871" s="294"/>
      <c r="B871" s="294"/>
      <c r="C871" s="294"/>
      <c r="D871" s="294"/>
      <c r="E871" s="294"/>
      <c r="F871" s="294"/>
      <c r="G871" s="294"/>
      <c r="H871" s="294"/>
      <c r="I871" s="294"/>
      <c r="J871" s="294"/>
      <c r="K871" s="294"/>
      <c r="L871" s="294"/>
      <c r="M871" s="294"/>
      <c r="N871" s="294"/>
      <c r="O871" s="294"/>
      <c r="P871" s="294"/>
    </row>
    <row r="872" spans="1:16" ht="15.75" customHeight="1">
      <c r="A872" s="294"/>
      <c r="B872" s="294"/>
      <c r="C872" s="294"/>
      <c r="D872" s="294"/>
      <c r="E872" s="294"/>
      <c r="F872" s="294"/>
      <c r="G872" s="294"/>
      <c r="H872" s="294"/>
      <c r="I872" s="294"/>
      <c r="J872" s="294"/>
      <c r="K872" s="294"/>
      <c r="L872" s="294"/>
      <c r="M872" s="294"/>
      <c r="N872" s="294"/>
      <c r="O872" s="294"/>
      <c r="P872" s="294"/>
    </row>
    <row r="873" spans="1:16" ht="15.75" customHeight="1">
      <c r="A873" s="433" t="s">
        <v>458</v>
      </c>
      <c r="B873" s="294"/>
      <c r="C873" s="294"/>
      <c r="D873" s="331" t="str">
        <f ca="1">OFFSET(BD!$A$152,0,MATCH(D$865,BD!$B$1:$P$1,0))</f>
        <v>-</v>
      </c>
      <c r="E873" s="294"/>
      <c r="F873" s="294"/>
      <c r="G873" s="294"/>
      <c r="H873" s="294"/>
      <c r="I873" s="294"/>
      <c r="J873" s="434" t="str">
        <f ca="1">IF(OR(D873="-",K873="-"),"-",(K873-D873)*100/D873)</f>
        <v>-</v>
      </c>
      <c r="K873" s="331" t="str">
        <f ca="1">OFFSET(BD!$A$152,0,MATCH(K$865,BD!$B$1:$P$1,0))</f>
        <v>-</v>
      </c>
      <c r="L873" s="294"/>
      <c r="M873" s="294"/>
      <c r="N873" s="294"/>
      <c r="O873" s="294"/>
      <c r="P873" s="294"/>
    </row>
    <row r="874" spans="1:16" ht="15.75" customHeight="1">
      <c r="A874" s="294"/>
      <c r="B874" s="294"/>
      <c r="C874" s="294"/>
      <c r="D874" s="294"/>
      <c r="E874" s="294"/>
      <c r="F874" s="294"/>
      <c r="G874" s="294"/>
      <c r="H874" s="294"/>
      <c r="I874" s="294"/>
      <c r="J874" s="294"/>
      <c r="K874" s="294"/>
      <c r="L874" s="294"/>
      <c r="M874" s="294"/>
      <c r="N874" s="294"/>
      <c r="O874" s="294"/>
      <c r="P874" s="294"/>
    </row>
    <row r="875" spans="1:16" ht="15.75" customHeight="1">
      <c r="A875" s="294"/>
      <c r="B875" s="294"/>
      <c r="C875" s="294"/>
      <c r="D875" s="294"/>
      <c r="E875" s="294"/>
      <c r="F875" s="294"/>
      <c r="G875" s="294"/>
      <c r="H875" s="294"/>
      <c r="I875" s="294"/>
      <c r="J875" s="294"/>
      <c r="K875" s="294"/>
      <c r="L875" s="294"/>
      <c r="M875" s="294"/>
      <c r="N875" s="294"/>
      <c r="O875" s="294"/>
      <c r="P875" s="294"/>
    </row>
    <row r="876" spans="1:16" ht="15.75" customHeight="1">
      <c r="A876" s="433" t="s">
        <v>459</v>
      </c>
      <c r="B876" s="294"/>
      <c r="C876" s="294"/>
      <c r="D876" s="331" t="str">
        <f ca="1">OFFSET(BD!$A$153,0,MATCH(D$865,BD!$B$1:$P$1,0))</f>
        <v>-</v>
      </c>
      <c r="E876" s="294"/>
      <c r="F876" s="294"/>
      <c r="G876" s="294"/>
      <c r="H876" s="294"/>
      <c r="I876" s="294"/>
      <c r="J876" s="434" t="str">
        <f ca="1">IF(OR(D876="-",K876="-"),"-",(K876-D876)*100/D876)</f>
        <v>-</v>
      </c>
      <c r="K876" s="331" t="str">
        <f ca="1">OFFSET(BD!$A$153,0,MATCH(K$865,BD!$B$1:$P$1,0))</f>
        <v>-</v>
      </c>
      <c r="L876" s="294"/>
      <c r="M876" s="294"/>
      <c r="N876" s="294"/>
      <c r="O876" s="294"/>
      <c r="P876" s="294"/>
    </row>
    <row r="877" spans="1:16" ht="15.75" customHeight="1">
      <c r="A877" s="294"/>
      <c r="B877" s="294"/>
      <c r="C877" s="294"/>
      <c r="D877" s="294"/>
      <c r="E877" s="294"/>
      <c r="F877" s="294"/>
      <c r="G877" s="294"/>
      <c r="H877" s="294"/>
      <c r="I877" s="294"/>
      <c r="J877" s="294"/>
      <c r="K877" s="294"/>
      <c r="L877" s="294"/>
      <c r="M877" s="294"/>
      <c r="N877" s="294"/>
      <c r="O877" s="294"/>
      <c r="P877" s="294"/>
    </row>
    <row r="878" spans="1:16" ht="15.75" customHeight="1">
      <c r="A878" s="294"/>
      <c r="B878" s="294"/>
      <c r="C878" s="294"/>
      <c r="D878" s="294"/>
      <c r="E878" s="294"/>
      <c r="F878" s="294"/>
      <c r="G878" s="294"/>
      <c r="H878" s="294"/>
      <c r="I878" s="294"/>
      <c r="J878" s="294"/>
      <c r="K878" s="294"/>
      <c r="L878" s="294"/>
      <c r="M878" s="294"/>
      <c r="N878" s="294"/>
      <c r="O878" s="294"/>
      <c r="P878" s="294"/>
    </row>
    <row r="879" spans="1:16" ht="15.75" customHeight="1">
      <c r="A879" s="436" t="s">
        <v>342</v>
      </c>
      <c r="B879" s="319"/>
      <c r="C879" s="319"/>
      <c r="D879" s="437" t="str">
        <f ca="1">OFFSET(BD!$A$154,0,MATCH(D$865,BD!$B$1:$P$1,0))</f>
        <v>-</v>
      </c>
      <c r="E879" s="319"/>
      <c r="F879" s="319"/>
      <c r="G879" s="319"/>
      <c r="H879" s="319"/>
      <c r="I879" s="319"/>
      <c r="J879" s="438" t="str">
        <f ca="1">IF(OR(D879="-",K879="-"),"-",(K879-D879)*100/D879)</f>
        <v>-</v>
      </c>
      <c r="K879" s="437" t="str">
        <f ca="1">OFFSET(BD!$A$154,0,MATCH(K$865,BD!$B$1:$P$1,0))</f>
        <v>-</v>
      </c>
      <c r="L879" s="319"/>
      <c r="M879" s="319"/>
      <c r="N879" s="319"/>
      <c r="O879" s="319"/>
      <c r="P879" s="319"/>
    </row>
    <row r="880" spans="1:16" ht="15.75" customHeight="1">
      <c r="A880" s="294"/>
      <c r="B880" s="294"/>
      <c r="C880" s="294"/>
      <c r="D880" s="294"/>
      <c r="E880" s="294"/>
      <c r="F880" s="294"/>
      <c r="G880" s="294"/>
      <c r="H880" s="294"/>
      <c r="I880" s="294"/>
      <c r="J880" s="294"/>
      <c r="K880" s="294"/>
      <c r="L880" s="294"/>
      <c r="M880" s="294"/>
      <c r="N880" s="294"/>
      <c r="O880" s="294"/>
      <c r="P880" s="294"/>
    </row>
    <row r="881" spans="1:16" ht="15.75" customHeight="1">
      <c r="A881" s="317"/>
      <c r="B881" s="317"/>
      <c r="C881" s="317"/>
      <c r="D881" s="317"/>
      <c r="E881" s="317"/>
      <c r="F881" s="317"/>
      <c r="G881" s="317"/>
      <c r="H881" s="317"/>
      <c r="I881" s="317"/>
      <c r="J881" s="317"/>
      <c r="K881" s="317"/>
      <c r="L881" s="317"/>
      <c r="M881" s="317"/>
      <c r="N881" s="317"/>
      <c r="O881" s="317"/>
      <c r="P881" s="317"/>
    </row>
    <row r="883" spans="1:16" ht="15.75" customHeight="1">
      <c r="D883" s="356" t="str">
        <f>D865</f>
        <v>Av1</v>
      </c>
      <c r="E883" s="294"/>
      <c r="F883" s="294"/>
      <c r="G883" s="294"/>
      <c r="H883" s="294"/>
      <c r="I883" s="294"/>
      <c r="K883" s="356" t="str">
        <f ca="1">K865</f>
        <v>Av15</v>
      </c>
      <c r="L883" s="294"/>
      <c r="M883" s="294"/>
      <c r="N883" s="294"/>
      <c r="O883" s="294"/>
      <c r="P883" s="294"/>
    </row>
    <row r="884" spans="1:16" ht="15.75" customHeight="1">
      <c r="D884" s="307"/>
      <c r="E884" s="294"/>
      <c r="F884" s="294"/>
      <c r="G884" s="294"/>
      <c r="H884" s="294"/>
      <c r="I884" s="294"/>
      <c r="K884" s="307"/>
      <c r="L884" s="294"/>
      <c r="M884" s="294"/>
      <c r="N884" s="294"/>
      <c r="O884" s="294"/>
      <c r="P884" s="294"/>
    </row>
    <row r="885" spans="1:16" ht="15.75" customHeight="1">
      <c r="D885" s="294"/>
      <c r="E885" s="294"/>
      <c r="F885" s="294"/>
      <c r="G885" s="294"/>
      <c r="H885" s="294"/>
      <c r="I885" s="294"/>
      <c r="K885" s="294"/>
      <c r="L885" s="294"/>
      <c r="M885" s="294"/>
      <c r="N885" s="294"/>
      <c r="O885" s="294"/>
      <c r="P885" s="294"/>
    </row>
    <row r="886" spans="1:16" ht="15.75" customHeight="1">
      <c r="A886" s="435" t="s">
        <v>325</v>
      </c>
      <c r="B886" s="294"/>
      <c r="C886" s="294"/>
      <c r="D886" s="294"/>
      <c r="E886" s="294"/>
      <c r="F886" s="294"/>
      <c r="G886" s="294"/>
      <c r="H886" s="294"/>
      <c r="I886" s="294"/>
      <c r="K886" s="294"/>
      <c r="L886" s="294"/>
      <c r="M886" s="294"/>
      <c r="N886" s="294"/>
      <c r="O886" s="294"/>
      <c r="P886" s="294"/>
    </row>
    <row r="887" spans="1:16" ht="15.75" customHeight="1">
      <c r="A887" s="140"/>
      <c r="B887" s="140"/>
      <c r="C887" s="140"/>
      <c r="D887" s="294"/>
      <c r="E887" s="294"/>
      <c r="F887" s="294"/>
      <c r="G887" s="294"/>
      <c r="H887" s="294"/>
      <c r="I887" s="294"/>
      <c r="K887" s="294"/>
      <c r="L887" s="294"/>
      <c r="M887" s="294"/>
      <c r="N887" s="294"/>
      <c r="O887" s="294"/>
      <c r="P887" s="294"/>
    </row>
    <row r="888" spans="1:16" ht="15.75" customHeight="1">
      <c r="A888" s="140"/>
      <c r="B888" s="140"/>
      <c r="C888" s="140"/>
      <c r="D888" s="294"/>
      <c r="E888" s="294"/>
      <c r="F888" s="294"/>
      <c r="G888" s="294"/>
      <c r="H888" s="294"/>
      <c r="I888" s="294"/>
      <c r="K888" s="294"/>
      <c r="L888" s="294"/>
      <c r="M888" s="294"/>
      <c r="N888" s="294"/>
      <c r="O888" s="294"/>
      <c r="P888" s="294"/>
    </row>
    <row r="889" spans="1:16" ht="15.75" customHeight="1">
      <c r="A889" s="339" t="s">
        <v>339</v>
      </c>
      <c r="B889" s="294"/>
      <c r="C889" s="294"/>
      <c r="D889" s="294"/>
      <c r="E889" s="294"/>
      <c r="F889" s="294"/>
      <c r="G889" s="294"/>
      <c r="H889" s="294"/>
      <c r="I889" s="294"/>
      <c r="K889" s="294"/>
      <c r="L889" s="294"/>
      <c r="M889" s="294"/>
      <c r="N889" s="294"/>
      <c r="O889" s="294"/>
      <c r="P889" s="294"/>
    </row>
    <row r="890" spans="1:16" ht="15.75" customHeight="1">
      <c r="A890" s="294"/>
      <c r="B890" s="294"/>
      <c r="C890" s="294"/>
      <c r="D890" s="294"/>
      <c r="E890" s="294"/>
      <c r="F890" s="294"/>
      <c r="G890" s="294"/>
      <c r="H890" s="294"/>
      <c r="I890" s="294"/>
      <c r="K890" s="294"/>
      <c r="L890" s="294"/>
      <c r="M890" s="294"/>
      <c r="N890" s="294"/>
      <c r="O890" s="294"/>
      <c r="P890" s="294"/>
    </row>
    <row r="891" spans="1:16" ht="15.75" customHeight="1">
      <c r="A891" s="338" t="s">
        <v>460</v>
      </c>
      <c r="B891" s="294"/>
      <c r="C891" s="294"/>
      <c r="D891" s="294"/>
      <c r="E891" s="294"/>
      <c r="F891" s="294"/>
      <c r="G891" s="294"/>
      <c r="H891" s="294"/>
      <c r="I891" s="294"/>
      <c r="K891" s="294"/>
      <c r="L891" s="294"/>
      <c r="M891" s="294"/>
      <c r="N891" s="294"/>
      <c r="O891" s="294"/>
      <c r="P891" s="294"/>
    </row>
    <row r="892" spans="1:16" ht="15.75" customHeight="1">
      <c r="A892" s="294"/>
      <c r="B892" s="294"/>
      <c r="C892" s="294"/>
      <c r="D892" s="294"/>
      <c r="E892" s="294"/>
      <c r="F892" s="294"/>
      <c r="G892" s="294"/>
      <c r="H892" s="294"/>
      <c r="I892" s="294"/>
      <c r="K892" s="294"/>
      <c r="L892" s="294"/>
      <c r="M892" s="294"/>
      <c r="N892" s="294"/>
      <c r="O892" s="294"/>
      <c r="P892" s="294"/>
    </row>
    <row r="893" spans="1:16" ht="15.75" customHeight="1">
      <c r="A893" s="140"/>
      <c r="B893" s="140"/>
      <c r="C893" s="140"/>
      <c r="D893" s="294"/>
      <c r="E893" s="294"/>
      <c r="F893" s="294"/>
      <c r="G893" s="294"/>
      <c r="H893" s="294"/>
      <c r="I893" s="294"/>
      <c r="K893" s="294"/>
      <c r="L893" s="294"/>
      <c r="M893" s="294"/>
      <c r="N893" s="294"/>
      <c r="O893" s="294"/>
      <c r="P893" s="294"/>
    </row>
    <row r="894" spans="1:16" ht="15.75" customHeight="1">
      <c r="A894" s="140"/>
      <c r="B894" s="140"/>
      <c r="C894" s="140"/>
      <c r="D894" s="294"/>
      <c r="E894" s="294"/>
      <c r="F894" s="294"/>
      <c r="G894" s="294"/>
      <c r="H894" s="294"/>
      <c r="I894" s="294"/>
      <c r="K894" s="294"/>
      <c r="L894" s="294"/>
      <c r="M894" s="294"/>
      <c r="N894" s="294"/>
      <c r="O894" s="294"/>
      <c r="P894" s="294"/>
    </row>
    <row r="895" spans="1:16" ht="15.75" customHeight="1">
      <c r="A895" s="435" t="s">
        <v>341</v>
      </c>
      <c r="B895" s="294"/>
      <c r="C895" s="294"/>
      <c r="D895" s="294"/>
      <c r="E895" s="294"/>
      <c r="F895" s="294"/>
      <c r="G895" s="294"/>
      <c r="H895" s="294"/>
      <c r="I895" s="294"/>
      <c r="K895" s="294"/>
      <c r="L895" s="294"/>
      <c r="M895" s="294"/>
      <c r="N895" s="294"/>
      <c r="O895" s="294"/>
      <c r="P895" s="294"/>
    </row>
    <row r="896" spans="1:16" ht="15.75" customHeight="1">
      <c r="D896" s="294"/>
      <c r="E896" s="294"/>
      <c r="F896" s="294"/>
      <c r="G896" s="294"/>
      <c r="H896" s="294"/>
      <c r="I896" s="294"/>
      <c r="K896" s="294"/>
      <c r="L896" s="294"/>
      <c r="M896" s="294"/>
      <c r="N896" s="294"/>
      <c r="O896" s="294"/>
      <c r="P896" s="294"/>
    </row>
    <row r="897" spans="1:16" ht="15.75" customHeight="1">
      <c r="D897" s="294"/>
      <c r="E897" s="294"/>
      <c r="F897" s="294"/>
      <c r="G897" s="294"/>
      <c r="H897" s="294"/>
      <c r="I897" s="294"/>
      <c r="K897" s="294"/>
      <c r="L897" s="294"/>
      <c r="M897" s="294"/>
      <c r="N897" s="294"/>
      <c r="O897" s="294"/>
      <c r="P897" s="294"/>
    </row>
    <row r="898" spans="1:16" ht="15.75" customHeight="1">
      <c r="D898" s="294"/>
      <c r="E898" s="294"/>
      <c r="F898" s="294"/>
      <c r="G898" s="294"/>
      <c r="H898" s="294"/>
      <c r="I898" s="294"/>
      <c r="K898" s="294"/>
      <c r="L898" s="294"/>
      <c r="M898" s="294"/>
      <c r="N898" s="294"/>
      <c r="O898" s="294"/>
      <c r="P898" s="294"/>
    </row>
    <row r="899" spans="1:16" ht="15.75" customHeight="1">
      <c r="D899" s="294"/>
      <c r="E899" s="294"/>
      <c r="F899" s="294"/>
      <c r="G899" s="294"/>
      <c r="H899" s="294"/>
      <c r="I899" s="294"/>
      <c r="K899" s="294"/>
      <c r="L899" s="294"/>
      <c r="M899" s="294"/>
      <c r="N899" s="294"/>
      <c r="O899" s="294"/>
      <c r="P899" s="294"/>
    </row>
    <row r="900" spans="1:16" ht="15.75" customHeight="1">
      <c r="G900" s="34">
        <v>20</v>
      </c>
      <c r="H900" s="141"/>
      <c r="I900" s="142"/>
      <c r="J900" s="143"/>
      <c r="K900" s="144"/>
      <c r="L900" s="145"/>
      <c r="M900" s="119">
        <v>100</v>
      </c>
    </row>
    <row r="901" spans="1:16" ht="15.75" customHeight="1">
      <c r="A901" s="294"/>
      <c r="B901" s="294"/>
      <c r="C901" s="294"/>
      <c r="D901" s="294"/>
      <c r="E901" s="294"/>
      <c r="F901" s="294"/>
      <c r="G901" s="294"/>
      <c r="H901" s="294"/>
      <c r="I901" s="294"/>
      <c r="J901" s="294"/>
      <c r="K901" s="294"/>
      <c r="L901" s="294"/>
      <c r="M901" s="294"/>
      <c r="N901" s="294"/>
      <c r="O901" s="294"/>
      <c r="P901" s="294"/>
    </row>
    <row r="902" spans="1:16" ht="15.75" customHeight="1">
      <c r="A902" s="294"/>
      <c r="B902" s="294"/>
      <c r="C902" s="294"/>
      <c r="D902" s="294"/>
      <c r="E902" s="294"/>
      <c r="F902" s="294"/>
      <c r="G902" s="294"/>
      <c r="H902" s="294"/>
      <c r="I902" s="294"/>
      <c r="J902" s="294"/>
      <c r="K902" s="294"/>
      <c r="L902" s="294"/>
      <c r="M902" s="294"/>
      <c r="N902" s="294"/>
      <c r="O902" s="294"/>
      <c r="P902" s="294"/>
    </row>
    <row r="903" spans="1:16" ht="15.75" customHeight="1">
      <c r="A903" s="294"/>
      <c r="B903" s="294"/>
      <c r="C903" s="294"/>
      <c r="D903" s="294"/>
      <c r="E903" s="294"/>
      <c r="F903" s="294"/>
      <c r="G903" s="294"/>
      <c r="H903" s="294"/>
      <c r="I903" s="294"/>
      <c r="J903" s="294"/>
      <c r="K903" s="294"/>
      <c r="L903" s="294"/>
      <c r="M903" s="294"/>
      <c r="N903" s="294"/>
      <c r="O903" s="294"/>
      <c r="P903" s="294"/>
    </row>
    <row r="904" spans="1:16" ht="15.75" customHeight="1">
      <c r="A904" s="294"/>
      <c r="B904" s="294"/>
      <c r="C904" s="294"/>
      <c r="D904" s="294"/>
      <c r="E904" s="294"/>
      <c r="F904" s="294"/>
      <c r="G904" s="294"/>
      <c r="H904" s="294"/>
      <c r="I904" s="294"/>
      <c r="J904" s="294"/>
      <c r="K904" s="294"/>
      <c r="L904" s="294"/>
      <c r="M904" s="294"/>
      <c r="N904" s="294"/>
      <c r="O904" s="294"/>
      <c r="P904" s="294"/>
    </row>
    <row r="905" spans="1:16" ht="15.75" customHeight="1">
      <c r="A905" s="294"/>
      <c r="B905" s="294"/>
      <c r="C905" s="294"/>
      <c r="D905" s="294"/>
      <c r="E905" s="294"/>
      <c r="F905" s="294"/>
      <c r="G905" s="294"/>
      <c r="H905" s="294"/>
      <c r="I905" s="294"/>
      <c r="J905" s="294"/>
      <c r="K905" s="294"/>
      <c r="L905" s="294"/>
      <c r="M905" s="294"/>
      <c r="N905" s="294"/>
      <c r="O905" s="294"/>
      <c r="P905" s="294"/>
    </row>
  </sheetData>
  <mergeCells count="1505">
    <mergeCell ref="A579:B579"/>
    <mergeCell ref="C579:D579"/>
    <mergeCell ref="E579:F579"/>
    <mergeCell ref="G579:H579"/>
    <mergeCell ref="I579:J579"/>
    <mergeCell ref="K579:L579"/>
    <mergeCell ref="K580:L580"/>
    <mergeCell ref="M580:N580"/>
    <mergeCell ref="M579:N579"/>
    <mergeCell ref="O579:P579"/>
    <mergeCell ref="C580:D580"/>
    <mergeCell ref="E580:F580"/>
    <mergeCell ref="G580:H580"/>
    <mergeCell ref="I580:J580"/>
    <mergeCell ref="O580:P580"/>
    <mergeCell ref="M581:N581"/>
    <mergeCell ref="O581:P581"/>
    <mergeCell ref="A580:B580"/>
    <mergeCell ref="A581:B581"/>
    <mergeCell ref="C581:D581"/>
    <mergeCell ref="E581:F581"/>
    <mergeCell ref="G581:H581"/>
    <mergeCell ref="I581:J581"/>
    <mergeCell ref="K581:L581"/>
    <mergeCell ref="M577:N577"/>
    <mergeCell ref="O577:P577"/>
    <mergeCell ref="A576:B576"/>
    <mergeCell ref="A577:B577"/>
    <mergeCell ref="C577:D577"/>
    <mergeCell ref="E577:F577"/>
    <mergeCell ref="G577:H577"/>
    <mergeCell ref="I577:J577"/>
    <mergeCell ref="K577:L577"/>
    <mergeCell ref="C578:D578"/>
    <mergeCell ref="E578:F578"/>
    <mergeCell ref="G578:H578"/>
    <mergeCell ref="I578:J578"/>
    <mergeCell ref="K578:L578"/>
    <mergeCell ref="M578:N578"/>
    <mergeCell ref="O578:P578"/>
    <mergeCell ref="A578:B578"/>
    <mergeCell ref="C574:D574"/>
    <mergeCell ref="E574:F574"/>
    <mergeCell ref="G574:H574"/>
    <mergeCell ref="I574:J574"/>
    <mergeCell ref="K574:L574"/>
    <mergeCell ref="M574:N574"/>
    <mergeCell ref="O574:P574"/>
    <mergeCell ref="A574:B574"/>
    <mergeCell ref="A575:B575"/>
    <mergeCell ref="C575:D575"/>
    <mergeCell ref="E575:F575"/>
    <mergeCell ref="G575:H575"/>
    <mergeCell ref="I575:J575"/>
    <mergeCell ref="K575:L575"/>
    <mergeCell ref="K576:L576"/>
    <mergeCell ref="M576:N576"/>
    <mergeCell ref="M575:N575"/>
    <mergeCell ref="O575:P575"/>
    <mergeCell ref="C576:D576"/>
    <mergeCell ref="E576:F576"/>
    <mergeCell ref="G576:H576"/>
    <mergeCell ref="I576:J576"/>
    <mergeCell ref="O576:P576"/>
    <mergeCell ref="F531:F532"/>
    <mergeCell ref="G531:H532"/>
    <mergeCell ref="I531:I532"/>
    <mergeCell ref="J531:K532"/>
    <mergeCell ref="L531:L532"/>
    <mergeCell ref="K567:L567"/>
    <mergeCell ref="M567:N567"/>
    <mergeCell ref="O567:P567"/>
    <mergeCell ref="M573:N573"/>
    <mergeCell ref="O573:P573"/>
    <mergeCell ref="A572:B572"/>
    <mergeCell ref="A573:B573"/>
    <mergeCell ref="C573:D573"/>
    <mergeCell ref="E573:F573"/>
    <mergeCell ref="G573:H573"/>
    <mergeCell ref="I573:J573"/>
    <mergeCell ref="K573:L573"/>
    <mergeCell ref="G566:H566"/>
    <mergeCell ref="I566:J566"/>
    <mergeCell ref="K566:L566"/>
    <mergeCell ref="M566:N566"/>
    <mergeCell ref="A550:P560"/>
    <mergeCell ref="A562:P563"/>
    <mergeCell ref="C564:D564"/>
    <mergeCell ref="E564:G564"/>
    <mergeCell ref="I564:J564"/>
    <mergeCell ref="K564:P564"/>
    <mergeCell ref="A566:B566"/>
    <mergeCell ref="O566:P566"/>
    <mergeCell ref="J527:K527"/>
    <mergeCell ref="L527:L528"/>
    <mergeCell ref="J528:K528"/>
    <mergeCell ref="J529:K530"/>
    <mergeCell ref="L529:L530"/>
    <mergeCell ref="M527:N527"/>
    <mergeCell ref="O527:P528"/>
    <mergeCell ref="M528:N528"/>
    <mergeCell ref="M529:N530"/>
    <mergeCell ref="O529:P530"/>
    <mergeCell ref="A527:C528"/>
    <mergeCell ref="D527:E527"/>
    <mergeCell ref="F527:F528"/>
    <mergeCell ref="I527:I528"/>
    <mergeCell ref="D528:E528"/>
    <mergeCell ref="G527:H527"/>
    <mergeCell ref="G528:H528"/>
    <mergeCell ref="A529:C530"/>
    <mergeCell ref="D529:E530"/>
    <mergeCell ref="F529:F530"/>
    <mergeCell ref="M545:N546"/>
    <mergeCell ref="O545:P546"/>
    <mergeCell ref="A545:C546"/>
    <mergeCell ref="D545:E546"/>
    <mergeCell ref="F545:F546"/>
    <mergeCell ref="G545:H546"/>
    <mergeCell ref="I545:I546"/>
    <mergeCell ref="J545:K546"/>
    <mergeCell ref="L545:L546"/>
    <mergeCell ref="M547:N548"/>
    <mergeCell ref="O547:P548"/>
    <mergeCell ref="A547:C548"/>
    <mergeCell ref="D547:E548"/>
    <mergeCell ref="F547:F548"/>
    <mergeCell ref="G547:H548"/>
    <mergeCell ref="I547:I548"/>
    <mergeCell ref="J547:K548"/>
    <mergeCell ref="L547:L548"/>
    <mergeCell ref="M541:N542"/>
    <mergeCell ref="O541:P542"/>
    <mergeCell ref="A541:C542"/>
    <mergeCell ref="D541:E542"/>
    <mergeCell ref="F541:F542"/>
    <mergeCell ref="G541:H542"/>
    <mergeCell ref="I541:I542"/>
    <mergeCell ref="J541:K542"/>
    <mergeCell ref="L541:L542"/>
    <mergeCell ref="M543:N544"/>
    <mergeCell ref="O543:P544"/>
    <mergeCell ref="A543:C544"/>
    <mergeCell ref="D543:E544"/>
    <mergeCell ref="F543:F544"/>
    <mergeCell ref="G543:H544"/>
    <mergeCell ref="I543:I544"/>
    <mergeCell ref="J543:K544"/>
    <mergeCell ref="L543:L544"/>
    <mergeCell ref="M537:N538"/>
    <mergeCell ref="O537:P538"/>
    <mergeCell ref="A537:C538"/>
    <mergeCell ref="D537:E538"/>
    <mergeCell ref="F537:F538"/>
    <mergeCell ref="G537:H538"/>
    <mergeCell ref="I537:I538"/>
    <mergeCell ref="J537:K538"/>
    <mergeCell ref="L537:L538"/>
    <mergeCell ref="M539:N540"/>
    <mergeCell ref="O539:P540"/>
    <mergeCell ref="A539:C540"/>
    <mergeCell ref="D539:E540"/>
    <mergeCell ref="F539:F540"/>
    <mergeCell ref="G539:H540"/>
    <mergeCell ref="I539:I540"/>
    <mergeCell ref="J539:K540"/>
    <mergeCell ref="L539:L540"/>
    <mergeCell ref="J489:K489"/>
    <mergeCell ref="M489:N489"/>
    <mergeCell ref="O489:P489"/>
    <mergeCell ref="A491:P504"/>
    <mergeCell ref="A505:P518"/>
    <mergeCell ref="A519:P520"/>
    <mergeCell ref="M533:N534"/>
    <mergeCell ref="O533:P534"/>
    <mergeCell ref="A533:C534"/>
    <mergeCell ref="D533:E534"/>
    <mergeCell ref="F533:F534"/>
    <mergeCell ref="G533:H534"/>
    <mergeCell ref="I533:I534"/>
    <mergeCell ref="J533:K534"/>
    <mergeCell ref="L533:L534"/>
    <mergeCell ref="M535:N536"/>
    <mergeCell ref="O535:P536"/>
    <mergeCell ref="A535:C536"/>
    <mergeCell ref="D535:E536"/>
    <mergeCell ref="F535:F536"/>
    <mergeCell ref="G535:H536"/>
    <mergeCell ref="I535:I536"/>
    <mergeCell ref="J535:K536"/>
    <mergeCell ref="L535:L536"/>
    <mergeCell ref="A521:P521"/>
    <mergeCell ref="A522:P526"/>
    <mergeCell ref="G529:H530"/>
    <mergeCell ref="I529:I530"/>
    <mergeCell ref="M531:N532"/>
    <mergeCell ref="O531:P532"/>
    <mergeCell ref="A531:C532"/>
    <mergeCell ref="D531:E532"/>
    <mergeCell ref="D479:E479"/>
    <mergeCell ref="A480:C480"/>
    <mergeCell ref="D480:E480"/>
    <mergeCell ref="A481:C481"/>
    <mergeCell ref="D481:E481"/>
    <mergeCell ref="D482:E482"/>
    <mergeCell ref="G482:H482"/>
    <mergeCell ref="G483:H483"/>
    <mergeCell ref="G484:H484"/>
    <mergeCell ref="G485:H485"/>
    <mergeCell ref="G486:H486"/>
    <mergeCell ref="G487:H487"/>
    <mergeCell ref="G488:H488"/>
    <mergeCell ref="G489:H489"/>
    <mergeCell ref="A486:C486"/>
    <mergeCell ref="D486:E486"/>
    <mergeCell ref="A487:C487"/>
    <mergeCell ref="D487:E487"/>
    <mergeCell ref="A488:C488"/>
    <mergeCell ref="D488:E488"/>
    <mergeCell ref="A489:C489"/>
    <mergeCell ref="D489:E489"/>
    <mergeCell ref="A482:C482"/>
    <mergeCell ref="A483:C483"/>
    <mergeCell ref="D483:E483"/>
    <mergeCell ref="A484:C484"/>
    <mergeCell ref="D484:E484"/>
    <mergeCell ref="A485:C485"/>
    <mergeCell ref="D485:E485"/>
    <mergeCell ref="M486:N486"/>
    <mergeCell ref="M482:N482"/>
    <mergeCell ref="O482:P482"/>
    <mergeCell ref="M483:N483"/>
    <mergeCell ref="O483:P483"/>
    <mergeCell ref="M484:N484"/>
    <mergeCell ref="O484:P484"/>
    <mergeCell ref="O485:P485"/>
    <mergeCell ref="O486:P486"/>
    <mergeCell ref="M487:N487"/>
    <mergeCell ref="M488:N488"/>
    <mergeCell ref="J483:K483"/>
    <mergeCell ref="J484:K484"/>
    <mergeCell ref="J485:K485"/>
    <mergeCell ref="J486:K486"/>
    <mergeCell ref="J487:K487"/>
    <mergeCell ref="O487:P487"/>
    <mergeCell ref="O488:P488"/>
    <mergeCell ref="J488:K488"/>
    <mergeCell ref="A440:C440"/>
    <mergeCell ref="D440:E440"/>
    <mergeCell ref="G440:H440"/>
    <mergeCell ref="J440:K440"/>
    <mergeCell ref="M440:N440"/>
    <mergeCell ref="O440:P440"/>
    <mergeCell ref="A441:P442"/>
    <mergeCell ref="G478:H478"/>
    <mergeCell ref="J478:K478"/>
    <mergeCell ref="G479:H479"/>
    <mergeCell ref="J479:K479"/>
    <mergeCell ref="G480:H480"/>
    <mergeCell ref="J480:K480"/>
    <mergeCell ref="G481:H481"/>
    <mergeCell ref="J481:K481"/>
    <mergeCell ref="J482:K482"/>
    <mergeCell ref="M485:N485"/>
    <mergeCell ref="A443:P458"/>
    <mergeCell ref="A459:P474"/>
    <mergeCell ref="A476:P477"/>
    <mergeCell ref="A478:C479"/>
    <mergeCell ref="F478:F479"/>
    <mergeCell ref="I478:I479"/>
    <mergeCell ref="O478:P479"/>
    <mergeCell ref="L478:L479"/>
    <mergeCell ref="M478:N478"/>
    <mergeCell ref="M479:N479"/>
    <mergeCell ref="M480:N480"/>
    <mergeCell ref="O480:P480"/>
    <mergeCell ref="M481:N481"/>
    <mergeCell ref="O481:P481"/>
    <mergeCell ref="D478:E478"/>
    <mergeCell ref="M435:N435"/>
    <mergeCell ref="O435:P436"/>
    <mergeCell ref="M436:N436"/>
    <mergeCell ref="M437:N437"/>
    <mergeCell ref="O437:P437"/>
    <mergeCell ref="M438:N438"/>
    <mergeCell ref="O438:P438"/>
    <mergeCell ref="J401:K402"/>
    <mergeCell ref="L401:L402"/>
    <mergeCell ref="M401:N402"/>
    <mergeCell ref="O401:P402"/>
    <mergeCell ref="A404:P417"/>
    <mergeCell ref="A433:P434"/>
    <mergeCell ref="A435:C436"/>
    <mergeCell ref="A439:C439"/>
    <mergeCell ref="D439:E439"/>
    <mergeCell ref="G439:H439"/>
    <mergeCell ref="J439:K439"/>
    <mergeCell ref="M439:N439"/>
    <mergeCell ref="O439:P439"/>
    <mergeCell ref="D435:E435"/>
    <mergeCell ref="F435:F436"/>
    <mergeCell ref="D436:E436"/>
    <mergeCell ref="A437:C437"/>
    <mergeCell ref="D437:E437"/>
    <mergeCell ref="A438:C438"/>
    <mergeCell ref="D438:E438"/>
    <mergeCell ref="D401:E402"/>
    <mergeCell ref="F401:F402"/>
    <mergeCell ref="J395:K395"/>
    <mergeCell ref="L395:L396"/>
    <mergeCell ref="J396:K396"/>
    <mergeCell ref="J397:K398"/>
    <mergeCell ref="L397:L398"/>
    <mergeCell ref="J399:K400"/>
    <mergeCell ref="L399:L400"/>
    <mergeCell ref="G435:H435"/>
    <mergeCell ref="I435:I436"/>
    <mergeCell ref="G436:H436"/>
    <mergeCell ref="G437:H437"/>
    <mergeCell ref="G438:H438"/>
    <mergeCell ref="J435:K435"/>
    <mergeCell ref="L435:L436"/>
    <mergeCell ref="J436:K436"/>
    <mergeCell ref="J437:K437"/>
    <mergeCell ref="J438:K438"/>
    <mergeCell ref="M399:N400"/>
    <mergeCell ref="O399:P400"/>
    <mergeCell ref="A378:C386"/>
    <mergeCell ref="D378:I386"/>
    <mergeCell ref="A390:P391"/>
    <mergeCell ref="A392:P394"/>
    <mergeCell ref="A395:C396"/>
    <mergeCell ref="D395:E395"/>
    <mergeCell ref="F395:F396"/>
    <mergeCell ref="D396:E396"/>
    <mergeCell ref="G395:H395"/>
    <mergeCell ref="I395:I396"/>
    <mergeCell ref="G396:H396"/>
    <mergeCell ref="D397:E398"/>
    <mergeCell ref="F397:F398"/>
    <mergeCell ref="G397:H398"/>
    <mergeCell ref="I397:I398"/>
    <mergeCell ref="O308:P309"/>
    <mergeCell ref="A321:P334"/>
    <mergeCell ref="A347:P348"/>
    <mergeCell ref="A349:C350"/>
    <mergeCell ref="D349:I349"/>
    <mergeCell ref="K349:P349"/>
    <mergeCell ref="D350:I350"/>
    <mergeCell ref="K350:P350"/>
    <mergeCell ref="G401:H402"/>
    <mergeCell ref="I401:I402"/>
    <mergeCell ref="A397:C398"/>
    <mergeCell ref="A399:C400"/>
    <mergeCell ref="D399:E400"/>
    <mergeCell ref="F399:F400"/>
    <mergeCell ref="G399:H400"/>
    <mergeCell ref="I399:I400"/>
    <mergeCell ref="A401:C402"/>
    <mergeCell ref="K360:P368"/>
    <mergeCell ref="K369:P377"/>
    <mergeCell ref="K378:P386"/>
    <mergeCell ref="A351:C359"/>
    <mergeCell ref="D351:I359"/>
    <mergeCell ref="K351:P359"/>
    <mergeCell ref="A360:C368"/>
    <mergeCell ref="D360:I368"/>
    <mergeCell ref="A369:C377"/>
    <mergeCell ref="D369:I377"/>
    <mergeCell ref="M395:N395"/>
    <mergeCell ref="O395:P396"/>
    <mergeCell ref="M396:N396"/>
    <mergeCell ref="M397:N398"/>
    <mergeCell ref="O397:P398"/>
    <mergeCell ref="M271:N272"/>
    <mergeCell ref="O271:P272"/>
    <mergeCell ref="A271:C272"/>
    <mergeCell ref="D271:E272"/>
    <mergeCell ref="F271:F272"/>
    <mergeCell ref="G271:H272"/>
    <mergeCell ref="I271:I272"/>
    <mergeCell ref="J271:K272"/>
    <mergeCell ref="L271:L272"/>
    <mergeCell ref="M273:N274"/>
    <mergeCell ref="O273:P274"/>
    <mergeCell ref="A273:C274"/>
    <mergeCell ref="D273:E274"/>
    <mergeCell ref="F273:F274"/>
    <mergeCell ref="G273:H274"/>
    <mergeCell ref="I273:I274"/>
    <mergeCell ref="J273:K274"/>
    <mergeCell ref="L273:L274"/>
    <mergeCell ref="M316:N317"/>
    <mergeCell ref="O316:P317"/>
    <mergeCell ref="A316:C317"/>
    <mergeCell ref="D316:E317"/>
    <mergeCell ref="F316:F317"/>
    <mergeCell ref="G316:H317"/>
    <mergeCell ref="I316:I317"/>
    <mergeCell ref="J316:K317"/>
    <mergeCell ref="L316:L317"/>
    <mergeCell ref="M318:N319"/>
    <mergeCell ref="O318:P319"/>
    <mergeCell ref="A318:C319"/>
    <mergeCell ref="D318:E319"/>
    <mergeCell ref="F318:F319"/>
    <mergeCell ref="G318:H319"/>
    <mergeCell ref="I318:I319"/>
    <mergeCell ref="J318:K319"/>
    <mergeCell ref="L318:L319"/>
    <mergeCell ref="M314:N315"/>
    <mergeCell ref="O314:P315"/>
    <mergeCell ref="A314:C315"/>
    <mergeCell ref="D314:E315"/>
    <mergeCell ref="F314:F315"/>
    <mergeCell ref="G314:H315"/>
    <mergeCell ref="I314:I315"/>
    <mergeCell ref="J314:K315"/>
    <mergeCell ref="L314:L315"/>
    <mergeCell ref="A276:P289"/>
    <mergeCell ref="A304:P305"/>
    <mergeCell ref="A306:C307"/>
    <mergeCell ref="D306:E306"/>
    <mergeCell ref="F306:F307"/>
    <mergeCell ref="I306:I307"/>
    <mergeCell ref="D307:E307"/>
    <mergeCell ref="G306:H306"/>
    <mergeCell ref="G307:H307"/>
    <mergeCell ref="A308:C309"/>
    <mergeCell ref="D308:E309"/>
    <mergeCell ref="F308:F309"/>
    <mergeCell ref="G308:H309"/>
    <mergeCell ref="I308:I309"/>
    <mergeCell ref="J306:K306"/>
    <mergeCell ref="L306:L307"/>
    <mergeCell ref="J307:K307"/>
    <mergeCell ref="J308:K309"/>
    <mergeCell ref="L308:L309"/>
    <mergeCell ref="M306:N306"/>
    <mergeCell ref="O306:P307"/>
    <mergeCell ref="M307:N307"/>
    <mergeCell ref="M308:N309"/>
    <mergeCell ref="M310:N311"/>
    <mergeCell ref="O310:P311"/>
    <mergeCell ref="A310:C311"/>
    <mergeCell ref="D310:E311"/>
    <mergeCell ref="F310:F311"/>
    <mergeCell ref="G310:H311"/>
    <mergeCell ref="I310:I311"/>
    <mergeCell ref="J310:K311"/>
    <mergeCell ref="L310:L311"/>
    <mergeCell ref="M312:N313"/>
    <mergeCell ref="O312:P313"/>
    <mergeCell ref="A312:C313"/>
    <mergeCell ref="D312:E313"/>
    <mergeCell ref="F312:F313"/>
    <mergeCell ref="G312:H313"/>
    <mergeCell ref="I312:I313"/>
    <mergeCell ref="J312:K313"/>
    <mergeCell ref="L312:L313"/>
    <mergeCell ref="G267:H268"/>
    <mergeCell ref="I267:I268"/>
    <mergeCell ref="J267:K268"/>
    <mergeCell ref="L267:L268"/>
    <mergeCell ref="M267:N268"/>
    <mergeCell ref="O267:P268"/>
    <mergeCell ref="A263:C264"/>
    <mergeCell ref="A265:C266"/>
    <mergeCell ref="D265:E266"/>
    <mergeCell ref="F265:F266"/>
    <mergeCell ref="A267:C268"/>
    <mergeCell ref="D267:E268"/>
    <mergeCell ref="F267:F268"/>
    <mergeCell ref="M269:N270"/>
    <mergeCell ref="O269:P270"/>
    <mergeCell ref="A269:C270"/>
    <mergeCell ref="D269:E270"/>
    <mergeCell ref="F269:F270"/>
    <mergeCell ref="G269:H270"/>
    <mergeCell ref="I269:I270"/>
    <mergeCell ref="J269:K270"/>
    <mergeCell ref="L269:L270"/>
    <mergeCell ref="A249:P260"/>
    <mergeCell ref="A261:P262"/>
    <mergeCell ref="M263:N263"/>
    <mergeCell ref="O263:P264"/>
    <mergeCell ref="M264:N264"/>
    <mergeCell ref="G263:H263"/>
    <mergeCell ref="G264:H264"/>
    <mergeCell ref="G265:H266"/>
    <mergeCell ref="I265:I266"/>
    <mergeCell ref="J265:K266"/>
    <mergeCell ref="L265:L266"/>
    <mergeCell ref="M265:N266"/>
    <mergeCell ref="O265:P266"/>
    <mergeCell ref="D263:E263"/>
    <mergeCell ref="F263:F264"/>
    <mergeCell ref="I263:I264"/>
    <mergeCell ref="J263:K263"/>
    <mergeCell ref="L263:L264"/>
    <mergeCell ref="D264:E264"/>
    <mergeCell ref="J264:K264"/>
    <mergeCell ref="A246:C246"/>
    <mergeCell ref="D246:E246"/>
    <mergeCell ref="J246:K246"/>
    <mergeCell ref="M246:N246"/>
    <mergeCell ref="O246:P246"/>
    <mergeCell ref="A241:C242"/>
    <mergeCell ref="A243:C243"/>
    <mergeCell ref="D243:E243"/>
    <mergeCell ref="A244:C244"/>
    <mergeCell ref="D244:E244"/>
    <mergeCell ref="A245:C245"/>
    <mergeCell ref="D245:E245"/>
    <mergeCell ref="A247:C247"/>
    <mergeCell ref="D247:E247"/>
    <mergeCell ref="J247:K247"/>
    <mergeCell ref="M247:N247"/>
    <mergeCell ref="O247:P247"/>
    <mergeCell ref="G222:H222"/>
    <mergeCell ref="D223:E223"/>
    <mergeCell ref="G223:H223"/>
    <mergeCell ref="M241:N241"/>
    <mergeCell ref="O241:P242"/>
    <mergeCell ref="M242:N242"/>
    <mergeCell ref="G241:H241"/>
    <mergeCell ref="G242:H242"/>
    <mergeCell ref="G243:H243"/>
    <mergeCell ref="G244:H244"/>
    <mergeCell ref="G245:H245"/>
    <mergeCell ref="G246:H246"/>
    <mergeCell ref="G247:H247"/>
    <mergeCell ref="D241:E241"/>
    <mergeCell ref="F241:F242"/>
    <mergeCell ref="I241:I242"/>
    <mergeCell ref="J241:K241"/>
    <mergeCell ref="L241:L242"/>
    <mergeCell ref="D242:E242"/>
    <mergeCell ref="J242:K242"/>
    <mergeCell ref="M245:N245"/>
    <mergeCell ref="O245:P245"/>
    <mergeCell ref="J243:K243"/>
    <mergeCell ref="M243:N243"/>
    <mergeCell ref="O243:P243"/>
    <mergeCell ref="J244:K244"/>
    <mergeCell ref="M244:N244"/>
    <mergeCell ref="O244:P244"/>
    <mergeCell ref="J245:K245"/>
    <mergeCell ref="A181:D181"/>
    <mergeCell ref="I181:J181"/>
    <mergeCell ref="L180:M180"/>
    <mergeCell ref="L181:M181"/>
    <mergeCell ref="O181:P181"/>
    <mergeCell ref="L182:M184"/>
    <mergeCell ref="O182:P184"/>
    <mergeCell ref="L185:M185"/>
    <mergeCell ref="L186:M187"/>
    <mergeCell ref="F180:G180"/>
    <mergeCell ref="F181:G181"/>
    <mergeCell ref="A182:D184"/>
    <mergeCell ref="F182:G184"/>
    <mergeCell ref="A185:D185"/>
    <mergeCell ref="F185:G185"/>
    <mergeCell ref="F186:G187"/>
    <mergeCell ref="J220:K220"/>
    <mergeCell ref="L220:L221"/>
    <mergeCell ref="G220:H220"/>
    <mergeCell ref="I220:I221"/>
    <mergeCell ref="A226:C226"/>
    <mergeCell ref="D226:E226"/>
    <mergeCell ref="G226:H226"/>
    <mergeCell ref="J226:K226"/>
    <mergeCell ref="M226:N226"/>
    <mergeCell ref="O226:P226"/>
    <mergeCell ref="A228:P239"/>
    <mergeCell ref="O185:P185"/>
    <mergeCell ref="O186:P187"/>
    <mergeCell ref="J189:P190"/>
    <mergeCell ref="J191:P192"/>
    <mergeCell ref="J193:P194"/>
    <mergeCell ref="J195:P196"/>
    <mergeCell ref="D221:E221"/>
    <mergeCell ref="G221:H221"/>
    <mergeCell ref="J221:K221"/>
    <mergeCell ref="M221:N221"/>
    <mergeCell ref="A186:D187"/>
    <mergeCell ref="A189:H202"/>
    <mergeCell ref="A203:P217"/>
    <mergeCell ref="A218:P219"/>
    <mergeCell ref="A220:C221"/>
    <mergeCell ref="D220:E220"/>
    <mergeCell ref="F220:F221"/>
    <mergeCell ref="I185:J185"/>
    <mergeCell ref="I186:J187"/>
    <mergeCell ref="J222:K222"/>
    <mergeCell ref="J223:K223"/>
    <mergeCell ref="J224:K224"/>
    <mergeCell ref="J225:K225"/>
    <mergeCell ref="A222:C222"/>
    <mergeCell ref="D222:E222"/>
    <mergeCell ref="D153:E153"/>
    <mergeCell ref="A154:C155"/>
    <mergeCell ref="D154:E155"/>
    <mergeCell ref="F154:F155"/>
    <mergeCell ref="G154:H155"/>
    <mergeCell ref="O179:P179"/>
    <mergeCell ref="O180:P180"/>
    <mergeCell ref="M224:N224"/>
    <mergeCell ref="M225:N225"/>
    <mergeCell ref="M220:N220"/>
    <mergeCell ref="O220:P221"/>
    <mergeCell ref="M222:N222"/>
    <mergeCell ref="O222:P222"/>
    <mergeCell ref="M223:N223"/>
    <mergeCell ref="O223:P223"/>
    <mergeCell ref="O224:P224"/>
    <mergeCell ref="O225:P225"/>
    <mergeCell ref="A223:C223"/>
    <mergeCell ref="A224:C224"/>
    <mergeCell ref="D224:E224"/>
    <mergeCell ref="G224:H224"/>
    <mergeCell ref="A225:C225"/>
    <mergeCell ref="D225:E225"/>
    <mergeCell ref="G225:H225"/>
    <mergeCell ref="I179:J179"/>
    <mergeCell ref="I180:J180"/>
    <mergeCell ref="I182:J184"/>
    <mergeCell ref="A178:D178"/>
    <mergeCell ref="A179:D179"/>
    <mergeCell ref="F179:G179"/>
    <mergeCell ref="L179:M179"/>
    <mergeCell ref="A180:D180"/>
    <mergeCell ref="A165:C165"/>
    <mergeCell ref="D165:E165"/>
    <mergeCell ref="G165:H165"/>
    <mergeCell ref="J165:K165"/>
    <mergeCell ref="M165:N165"/>
    <mergeCell ref="O165:P165"/>
    <mergeCell ref="A167:P174"/>
    <mergeCell ref="A175:P176"/>
    <mergeCell ref="A177:D177"/>
    <mergeCell ref="F177:G178"/>
    <mergeCell ref="I177:M177"/>
    <mergeCell ref="O177:P178"/>
    <mergeCell ref="I178:J178"/>
    <mergeCell ref="L178:M178"/>
    <mergeCell ref="G151:H151"/>
    <mergeCell ref="G152:H152"/>
    <mergeCell ref="G153:H153"/>
    <mergeCell ref="J153:K153"/>
    <mergeCell ref="M151:N151"/>
    <mergeCell ref="M152:N152"/>
    <mergeCell ref="M153:N153"/>
    <mergeCell ref="O153:P153"/>
    <mergeCell ref="A151:C151"/>
    <mergeCell ref="D151:E151"/>
    <mergeCell ref="J151:K151"/>
    <mergeCell ref="O151:P151"/>
    <mergeCell ref="D152:E152"/>
    <mergeCell ref="J152:K152"/>
    <mergeCell ref="O152:P152"/>
    <mergeCell ref="I154:I155"/>
    <mergeCell ref="J154:K155"/>
    <mergeCell ref="L154:L155"/>
    <mergeCell ref="M159:N161"/>
    <mergeCell ref="O159:P161"/>
    <mergeCell ref="A159:C161"/>
    <mergeCell ref="D159:E161"/>
    <mergeCell ref="F159:F161"/>
    <mergeCell ref="G159:H161"/>
    <mergeCell ref="I159:I161"/>
    <mergeCell ref="J159:K161"/>
    <mergeCell ref="L159:L161"/>
    <mergeCell ref="M162:N164"/>
    <mergeCell ref="O162:P164"/>
    <mergeCell ref="A162:C164"/>
    <mergeCell ref="D162:E164"/>
    <mergeCell ref="F162:F164"/>
    <mergeCell ref="G162:H164"/>
    <mergeCell ref="I162:I164"/>
    <mergeCell ref="J162:K164"/>
    <mergeCell ref="L162:L164"/>
    <mergeCell ref="A150:C150"/>
    <mergeCell ref="D150:E150"/>
    <mergeCell ref="G150:H150"/>
    <mergeCell ref="J150:K150"/>
    <mergeCell ref="M150:N150"/>
    <mergeCell ref="O150:P150"/>
    <mergeCell ref="A147:C147"/>
    <mergeCell ref="A148:C148"/>
    <mergeCell ref="D148:E148"/>
    <mergeCell ref="G148:H148"/>
    <mergeCell ref="A149:C149"/>
    <mergeCell ref="D149:E149"/>
    <mergeCell ref="G149:H149"/>
    <mergeCell ref="M157:N158"/>
    <mergeCell ref="O157:P158"/>
    <mergeCell ref="A157:C158"/>
    <mergeCell ref="D157:E158"/>
    <mergeCell ref="F157:F158"/>
    <mergeCell ref="G157:H158"/>
    <mergeCell ref="I157:I158"/>
    <mergeCell ref="J157:K158"/>
    <mergeCell ref="L157:L158"/>
    <mergeCell ref="M154:N155"/>
    <mergeCell ref="O154:P155"/>
    <mergeCell ref="A156:C156"/>
    <mergeCell ref="D156:E156"/>
    <mergeCell ref="G156:H156"/>
    <mergeCell ref="J156:K156"/>
    <mergeCell ref="M156:N156"/>
    <mergeCell ref="O156:P156"/>
    <mergeCell ref="A152:C152"/>
    <mergeCell ref="A153:C153"/>
    <mergeCell ref="J148:K148"/>
    <mergeCell ref="J149:K149"/>
    <mergeCell ref="J115:K115"/>
    <mergeCell ref="J116:K116"/>
    <mergeCell ref="A118:P131"/>
    <mergeCell ref="A132:P133"/>
    <mergeCell ref="A134:P142"/>
    <mergeCell ref="A144:C145"/>
    <mergeCell ref="O144:P145"/>
    <mergeCell ref="G145:H145"/>
    <mergeCell ref="F144:F145"/>
    <mergeCell ref="D145:E145"/>
    <mergeCell ref="A146:C146"/>
    <mergeCell ref="D146:E146"/>
    <mergeCell ref="G146:H146"/>
    <mergeCell ref="D147:E147"/>
    <mergeCell ref="G147:H147"/>
    <mergeCell ref="M148:N148"/>
    <mergeCell ref="O148:P148"/>
    <mergeCell ref="M149:N149"/>
    <mergeCell ref="O149:P149"/>
    <mergeCell ref="L144:L145"/>
    <mergeCell ref="M144:N144"/>
    <mergeCell ref="M145:N145"/>
    <mergeCell ref="M146:N146"/>
    <mergeCell ref="O146:P146"/>
    <mergeCell ref="M147:N147"/>
    <mergeCell ref="O147:P147"/>
    <mergeCell ref="J113:K113"/>
    <mergeCell ref="M113:N113"/>
    <mergeCell ref="O113:P113"/>
    <mergeCell ref="G108:H108"/>
    <mergeCell ref="G109:H109"/>
    <mergeCell ref="G110:H110"/>
    <mergeCell ref="J110:K110"/>
    <mergeCell ref="G111:H111"/>
    <mergeCell ref="J111:K111"/>
    <mergeCell ref="J112:K112"/>
    <mergeCell ref="D144:E144"/>
    <mergeCell ref="G144:H144"/>
    <mergeCell ref="I144:I145"/>
    <mergeCell ref="J144:K144"/>
    <mergeCell ref="J145:K145"/>
    <mergeCell ref="J146:K146"/>
    <mergeCell ref="J147:K147"/>
    <mergeCell ref="A106:C106"/>
    <mergeCell ref="D106:E106"/>
    <mergeCell ref="G106:H106"/>
    <mergeCell ref="J106:K106"/>
    <mergeCell ref="M106:N106"/>
    <mergeCell ref="O106:P106"/>
    <mergeCell ref="A107:C107"/>
    <mergeCell ref="D107:E107"/>
    <mergeCell ref="G107:H107"/>
    <mergeCell ref="J107:K107"/>
    <mergeCell ref="M107:N107"/>
    <mergeCell ref="O107:P107"/>
    <mergeCell ref="A102:C102"/>
    <mergeCell ref="D102:E102"/>
    <mergeCell ref="A103:C103"/>
    <mergeCell ref="D103:E103"/>
    <mergeCell ref="A104:C104"/>
    <mergeCell ref="D104:E104"/>
    <mergeCell ref="D105:E105"/>
    <mergeCell ref="D111:E111"/>
    <mergeCell ref="A112:C112"/>
    <mergeCell ref="D112:E112"/>
    <mergeCell ref="M112:N112"/>
    <mergeCell ref="M114:N114"/>
    <mergeCell ref="O114:P114"/>
    <mergeCell ref="M108:N108"/>
    <mergeCell ref="M109:N109"/>
    <mergeCell ref="M110:N110"/>
    <mergeCell ref="O110:P110"/>
    <mergeCell ref="M111:N111"/>
    <mergeCell ref="O111:P111"/>
    <mergeCell ref="O112:P112"/>
    <mergeCell ref="M116:N116"/>
    <mergeCell ref="O116:P116"/>
    <mergeCell ref="G112:H112"/>
    <mergeCell ref="G114:H114"/>
    <mergeCell ref="J114:K114"/>
    <mergeCell ref="G115:H115"/>
    <mergeCell ref="M115:N115"/>
    <mergeCell ref="O115:P115"/>
    <mergeCell ref="G116:H116"/>
    <mergeCell ref="A108:C108"/>
    <mergeCell ref="D108:E108"/>
    <mergeCell ref="J108:K108"/>
    <mergeCell ref="O108:P108"/>
    <mergeCell ref="D109:E109"/>
    <mergeCell ref="J109:K109"/>
    <mergeCell ref="O109:P109"/>
    <mergeCell ref="A113:C113"/>
    <mergeCell ref="D113:E113"/>
    <mergeCell ref="G113:H113"/>
    <mergeCell ref="B93:C93"/>
    <mergeCell ref="D93:I93"/>
    <mergeCell ref="J93:M93"/>
    <mergeCell ref="N93:P93"/>
    <mergeCell ref="B94:C94"/>
    <mergeCell ref="N94:P94"/>
    <mergeCell ref="J100:K100"/>
    <mergeCell ref="L100:L101"/>
    <mergeCell ref="J101:K101"/>
    <mergeCell ref="J102:K102"/>
    <mergeCell ref="J103:K103"/>
    <mergeCell ref="J104:K104"/>
    <mergeCell ref="J105:K105"/>
    <mergeCell ref="G100:H100"/>
    <mergeCell ref="G101:H101"/>
    <mergeCell ref="G102:H102"/>
    <mergeCell ref="G103:H103"/>
    <mergeCell ref="G104:H104"/>
    <mergeCell ref="G105:H105"/>
    <mergeCell ref="M104:N104"/>
    <mergeCell ref="O104:P104"/>
    <mergeCell ref="M105:N105"/>
    <mergeCell ref="O105:P105"/>
    <mergeCell ref="M100:N100"/>
    <mergeCell ref="O100:P101"/>
    <mergeCell ref="M101:N101"/>
    <mergeCell ref="M102:N102"/>
    <mergeCell ref="O102:P102"/>
    <mergeCell ref="M103:N103"/>
    <mergeCell ref="O103:P103"/>
    <mergeCell ref="A105:C105"/>
    <mergeCell ref="A1:E1"/>
    <mergeCell ref="G1:J1"/>
    <mergeCell ref="K1:P1"/>
    <mergeCell ref="B17:O20"/>
    <mergeCell ref="B22:O27"/>
    <mergeCell ref="A46:P47"/>
    <mergeCell ref="A48:P73"/>
    <mergeCell ref="A87:P88"/>
    <mergeCell ref="A89:P90"/>
    <mergeCell ref="B91:C91"/>
    <mergeCell ref="D91:I91"/>
    <mergeCell ref="J91:M91"/>
    <mergeCell ref="N91:P91"/>
    <mergeCell ref="B92:C92"/>
    <mergeCell ref="N92:P92"/>
    <mergeCell ref="D92:I92"/>
    <mergeCell ref="J92:M92"/>
    <mergeCell ref="L740:L741"/>
    <mergeCell ref="A740:D741"/>
    <mergeCell ref="A742:D743"/>
    <mergeCell ref="E742:G743"/>
    <mergeCell ref="A745:E746"/>
    <mergeCell ref="F745:G746"/>
    <mergeCell ref="A747:E748"/>
    <mergeCell ref="F747:G748"/>
    <mergeCell ref="D94:I94"/>
    <mergeCell ref="J94:M94"/>
    <mergeCell ref="B95:C95"/>
    <mergeCell ref="D95:I95"/>
    <mergeCell ref="J95:M95"/>
    <mergeCell ref="N95:P95"/>
    <mergeCell ref="N96:P96"/>
    <mergeCell ref="J96:M96"/>
    <mergeCell ref="A98:P99"/>
    <mergeCell ref="A100:C101"/>
    <mergeCell ref="D100:E100"/>
    <mergeCell ref="F100:F101"/>
    <mergeCell ref="I100:I101"/>
    <mergeCell ref="D101:E101"/>
    <mergeCell ref="A114:C114"/>
    <mergeCell ref="D114:E114"/>
    <mergeCell ref="A115:C115"/>
    <mergeCell ref="D115:E115"/>
    <mergeCell ref="A116:C116"/>
    <mergeCell ref="D116:E116"/>
    <mergeCell ref="A109:C109"/>
    <mergeCell ref="A110:C110"/>
    <mergeCell ref="D110:E110"/>
    <mergeCell ref="A111:C111"/>
    <mergeCell ref="M720:O720"/>
    <mergeCell ref="A706:B708"/>
    <mergeCell ref="A709:B710"/>
    <mergeCell ref="C709:D710"/>
    <mergeCell ref="E709:F710"/>
    <mergeCell ref="G709:H710"/>
    <mergeCell ref="I709:J710"/>
    <mergeCell ref="K709:L710"/>
    <mergeCell ref="C711:D712"/>
    <mergeCell ref="E711:F712"/>
    <mergeCell ref="G711:H712"/>
    <mergeCell ref="I711:J712"/>
    <mergeCell ref="K711:L712"/>
    <mergeCell ref="M711:N712"/>
    <mergeCell ref="O711:P712"/>
    <mergeCell ref="A711:B712"/>
    <mergeCell ref="A714:C714"/>
    <mergeCell ref="A715:C715"/>
    <mergeCell ref="A716:F716"/>
    <mergeCell ref="A717:F717"/>
    <mergeCell ref="A718:F718"/>
    <mergeCell ref="H719:J719"/>
    <mergeCell ref="A702:D702"/>
    <mergeCell ref="A704:B704"/>
    <mergeCell ref="C704:D704"/>
    <mergeCell ref="E704:F704"/>
    <mergeCell ref="G704:H704"/>
    <mergeCell ref="I704:J704"/>
    <mergeCell ref="K704:L704"/>
    <mergeCell ref="C706:D708"/>
    <mergeCell ref="E706:F708"/>
    <mergeCell ref="G706:H708"/>
    <mergeCell ref="I706:J708"/>
    <mergeCell ref="K706:L708"/>
    <mergeCell ref="M706:N708"/>
    <mergeCell ref="O706:P708"/>
    <mergeCell ref="M709:N710"/>
    <mergeCell ref="O709:P710"/>
    <mergeCell ref="M719:O719"/>
    <mergeCell ref="M704:N704"/>
    <mergeCell ref="O704:P704"/>
    <mergeCell ref="H717:J717"/>
    <mergeCell ref="H718:J718"/>
    <mergeCell ref="H714:J714"/>
    <mergeCell ref="M714:O714"/>
    <mergeCell ref="H715:J715"/>
    <mergeCell ref="M715:O715"/>
    <mergeCell ref="H716:J716"/>
    <mergeCell ref="M716:O716"/>
    <mergeCell ref="M717:O717"/>
    <mergeCell ref="M718:O718"/>
    <mergeCell ref="A705:B705"/>
    <mergeCell ref="C705:D705"/>
    <mergeCell ref="E705:F705"/>
    <mergeCell ref="G705:H705"/>
    <mergeCell ref="I705:J705"/>
    <mergeCell ref="K705:L705"/>
    <mergeCell ref="M705:N705"/>
    <mergeCell ref="O705:P705"/>
    <mergeCell ref="O700:P700"/>
    <mergeCell ref="A701:D701"/>
    <mergeCell ref="G701:H701"/>
    <mergeCell ref="O701:P701"/>
    <mergeCell ref="G702:H702"/>
    <mergeCell ref="O702:P702"/>
    <mergeCell ref="G630:H631"/>
    <mergeCell ref="I630:J631"/>
    <mergeCell ref="A632:B632"/>
    <mergeCell ref="C632:D632"/>
    <mergeCell ref="E632:F632"/>
    <mergeCell ref="G632:H632"/>
    <mergeCell ref="I632:J632"/>
    <mergeCell ref="C633:D633"/>
    <mergeCell ref="E633:F633"/>
    <mergeCell ref="G633:H633"/>
    <mergeCell ref="I633:J633"/>
    <mergeCell ref="K633:L633"/>
    <mergeCell ref="M633:N633"/>
    <mergeCell ref="O633:P633"/>
    <mergeCell ref="M634:N634"/>
    <mergeCell ref="O634:P634"/>
    <mergeCell ref="A633:B633"/>
    <mergeCell ref="A634:B634"/>
    <mergeCell ref="C634:D634"/>
    <mergeCell ref="E634:F634"/>
    <mergeCell ref="G634:H634"/>
    <mergeCell ref="I634:J634"/>
    <mergeCell ref="K634:L634"/>
    <mergeCell ref="C635:D635"/>
    <mergeCell ref="E635:F635"/>
    <mergeCell ref="G635:H635"/>
    <mergeCell ref="D883:I883"/>
    <mergeCell ref="D884:I899"/>
    <mergeCell ref="K884:P899"/>
    <mergeCell ref="A889:C890"/>
    <mergeCell ref="A891:C892"/>
    <mergeCell ref="A895:C895"/>
    <mergeCell ref="A901:P905"/>
    <mergeCell ref="D876:I878"/>
    <mergeCell ref="J876:J878"/>
    <mergeCell ref="A879:C881"/>
    <mergeCell ref="D879:I881"/>
    <mergeCell ref="J879:J881"/>
    <mergeCell ref="K879:P881"/>
    <mergeCell ref="K883:P883"/>
    <mergeCell ref="A886:C886"/>
    <mergeCell ref="A659:P689"/>
    <mergeCell ref="A691:P692"/>
    <mergeCell ref="A693:D694"/>
    <mergeCell ref="F693:G694"/>
    <mergeCell ref="I693:L696"/>
    <mergeCell ref="N693:P696"/>
    <mergeCell ref="F695:G696"/>
    <mergeCell ref="A695:D696"/>
    <mergeCell ref="A699:D699"/>
    <mergeCell ref="G699:H699"/>
    <mergeCell ref="K699:L699"/>
    <mergeCell ref="A700:D700"/>
    <mergeCell ref="G700:H700"/>
    <mergeCell ref="K700:L700"/>
    <mergeCell ref="K701:L701"/>
    <mergeCell ref="K702:L702"/>
    <mergeCell ref="O699:P699"/>
    <mergeCell ref="A788:C788"/>
    <mergeCell ref="F788:H788"/>
    <mergeCell ref="K788:M788"/>
    <mergeCell ref="C789:D789"/>
    <mergeCell ref="H789:I789"/>
    <mergeCell ref="C790:D790"/>
    <mergeCell ref="M791:N791"/>
    <mergeCell ref="H799:I799"/>
    <mergeCell ref="H800:I800"/>
    <mergeCell ref="H801:I801"/>
    <mergeCell ref="H790:I790"/>
    <mergeCell ref="H791:I791"/>
    <mergeCell ref="H792:I792"/>
    <mergeCell ref="H793:I793"/>
    <mergeCell ref="F796:H796"/>
    <mergeCell ref="H797:I797"/>
    <mergeCell ref="H798:I798"/>
    <mergeCell ref="C800:D800"/>
    <mergeCell ref="C801:D801"/>
    <mergeCell ref="C791:D791"/>
    <mergeCell ref="C792:D792"/>
    <mergeCell ref="C793:D793"/>
    <mergeCell ref="A796:C796"/>
    <mergeCell ref="C797:D797"/>
    <mergeCell ref="C798:D798"/>
    <mergeCell ref="C799:D799"/>
    <mergeCell ref="A867:C869"/>
    <mergeCell ref="D867:I869"/>
    <mergeCell ref="J867:J869"/>
    <mergeCell ref="K867:P869"/>
    <mergeCell ref="A870:C872"/>
    <mergeCell ref="K870:P872"/>
    <mergeCell ref="D870:I872"/>
    <mergeCell ref="J870:J872"/>
    <mergeCell ref="A873:C875"/>
    <mergeCell ref="D873:I875"/>
    <mergeCell ref="J873:J875"/>
    <mergeCell ref="K873:P875"/>
    <mergeCell ref="A876:C878"/>
    <mergeCell ref="K876:P878"/>
    <mergeCell ref="M792:N792"/>
    <mergeCell ref="M793:N793"/>
    <mergeCell ref="K796:M796"/>
    <mergeCell ref="M797:N797"/>
    <mergeCell ref="M798:N798"/>
    <mergeCell ref="M799:N799"/>
    <mergeCell ref="M800:N800"/>
    <mergeCell ref="M801:N801"/>
    <mergeCell ref="A803:P819"/>
    <mergeCell ref="A820:P821"/>
    <mergeCell ref="A822:C823"/>
    <mergeCell ref="J822:J823"/>
    <mergeCell ref="K822:P822"/>
    <mergeCell ref="K823:P823"/>
    <mergeCell ref="M789:N789"/>
    <mergeCell ref="M790:N790"/>
    <mergeCell ref="A824:C842"/>
    <mergeCell ref="A844:C862"/>
    <mergeCell ref="D844:I862"/>
    <mergeCell ref="A865:C866"/>
    <mergeCell ref="D866:I866"/>
    <mergeCell ref="K866:P866"/>
    <mergeCell ref="D822:I822"/>
    <mergeCell ref="D823:I823"/>
    <mergeCell ref="D824:I842"/>
    <mergeCell ref="K824:P842"/>
    <mergeCell ref="K844:P862"/>
    <mergeCell ref="A863:P864"/>
    <mergeCell ref="K865:P865"/>
    <mergeCell ref="D865:I865"/>
    <mergeCell ref="J865:J866"/>
    <mergeCell ref="D781:F781"/>
    <mergeCell ref="H781:I781"/>
    <mergeCell ref="K781:L781"/>
    <mergeCell ref="K782:L782"/>
    <mergeCell ref="K783:L783"/>
    <mergeCell ref="K784:L784"/>
    <mergeCell ref="K785:L785"/>
    <mergeCell ref="K786:L786"/>
    <mergeCell ref="A781:C781"/>
    <mergeCell ref="A782:C782"/>
    <mergeCell ref="D782:F782"/>
    <mergeCell ref="H782:I782"/>
    <mergeCell ref="A783:C783"/>
    <mergeCell ref="D783:F783"/>
    <mergeCell ref="H783:I783"/>
    <mergeCell ref="H785:I785"/>
    <mergeCell ref="H786:I786"/>
    <mergeCell ref="A784:C784"/>
    <mergeCell ref="D784:F784"/>
    <mergeCell ref="H784:I784"/>
    <mergeCell ref="A785:C785"/>
    <mergeCell ref="D785:F785"/>
    <mergeCell ref="A786:C786"/>
    <mergeCell ref="D786:F786"/>
    <mergeCell ref="K743:P743"/>
    <mergeCell ref="A749:G756"/>
    <mergeCell ref="A758:M758"/>
    <mergeCell ref="A759:G759"/>
    <mergeCell ref="H759:M759"/>
    <mergeCell ref="A760:G760"/>
    <mergeCell ref="H760:M760"/>
    <mergeCell ref="H761:M761"/>
    <mergeCell ref="A761:G761"/>
    <mergeCell ref="A763:P776"/>
    <mergeCell ref="A777:P778"/>
    <mergeCell ref="A779:C779"/>
    <mergeCell ref="D779:F779"/>
    <mergeCell ref="H779:I779"/>
    <mergeCell ref="K779:L779"/>
    <mergeCell ref="A780:C780"/>
    <mergeCell ref="D780:F780"/>
    <mergeCell ref="H780:I780"/>
    <mergeCell ref="K780:L780"/>
    <mergeCell ref="L726:M726"/>
    <mergeCell ref="H727:J727"/>
    <mergeCell ref="L727:M727"/>
    <mergeCell ref="O727:P727"/>
    <mergeCell ref="L728:M728"/>
    <mergeCell ref="O728:P728"/>
    <mergeCell ref="D724:F725"/>
    <mergeCell ref="D726:F726"/>
    <mergeCell ref="A727:B727"/>
    <mergeCell ref="D727:F727"/>
    <mergeCell ref="A728:B728"/>
    <mergeCell ref="D728:F728"/>
    <mergeCell ref="D729:F729"/>
    <mergeCell ref="N737:O737"/>
    <mergeCell ref="N738:O738"/>
    <mergeCell ref="N739:O739"/>
    <mergeCell ref="M740:P741"/>
    <mergeCell ref="O731:P731"/>
    <mergeCell ref="O732:P732"/>
    <mergeCell ref="D730:F730"/>
    <mergeCell ref="D731:F731"/>
    <mergeCell ref="H731:J731"/>
    <mergeCell ref="L731:M731"/>
    <mergeCell ref="D732:F732"/>
    <mergeCell ref="H732:J732"/>
    <mergeCell ref="L732:M732"/>
    <mergeCell ref="A737:D738"/>
    <mergeCell ref="A739:D739"/>
    <mergeCell ref="E739:G739"/>
    <mergeCell ref="I739:K739"/>
    <mergeCell ref="E740:G741"/>
    <mergeCell ref="I740:K741"/>
    <mergeCell ref="E733:F733"/>
    <mergeCell ref="A734:P735"/>
    <mergeCell ref="A736:G736"/>
    <mergeCell ref="I736:K736"/>
    <mergeCell ref="N736:O736"/>
    <mergeCell ref="I737:K737"/>
    <mergeCell ref="I738:K738"/>
    <mergeCell ref="A729:B729"/>
    <mergeCell ref="A730:B730"/>
    <mergeCell ref="A731:B731"/>
    <mergeCell ref="A732:B732"/>
    <mergeCell ref="A733:B733"/>
    <mergeCell ref="C733:D733"/>
    <mergeCell ref="E737:G738"/>
    <mergeCell ref="L724:M725"/>
    <mergeCell ref="O724:P725"/>
    <mergeCell ref="A719:F719"/>
    <mergeCell ref="A720:F720"/>
    <mergeCell ref="H720:J720"/>
    <mergeCell ref="A723:P723"/>
    <mergeCell ref="A724:B725"/>
    <mergeCell ref="H724:J725"/>
    <mergeCell ref="A726:B726"/>
    <mergeCell ref="O726:P726"/>
    <mergeCell ref="H728:J728"/>
    <mergeCell ref="H729:J729"/>
    <mergeCell ref="L729:M729"/>
    <mergeCell ref="O729:P729"/>
    <mergeCell ref="H730:J730"/>
    <mergeCell ref="L730:M730"/>
    <mergeCell ref="O730:P730"/>
    <mergeCell ref="H726:J726"/>
    <mergeCell ref="C643:D643"/>
    <mergeCell ref="E643:F643"/>
    <mergeCell ref="G643:H643"/>
    <mergeCell ref="I643:J643"/>
    <mergeCell ref="K643:L643"/>
    <mergeCell ref="M643:N643"/>
    <mergeCell ref="O643:P643"/>
    <mergeCell ref="A643:B643"/>
    <mergeCell ref="A644:B644"/>
    <mergeCell ref="C644:D644"/>
    <mergeCell ref="E644:F644"/>
    <mergeCell ref="G644:H644"/>
    <mergeCell ref="I644:J644"/>
    <mergeCell ref="K644:L644"/>
    <mergeCell ref="J657:K657"/>
    <mergeCell ref="L657:N657"/>
    <mergeCell ref="M644:N644"/>
    <mergeCell ref="O644:P644"/>
    <mergeCell ref="A648:P649"/>
    <mergeCell ref="A650:P655"/>
    <mergeCell ref="A657:B657"/>
    <mergeCell ref="C657:D657"/>
    <mergeCell ref="E657:G657"/>
    <mergeCell ref="A640:B640"/>
    <mergeCell ref="C640:D640"/>
    <mergeCell ref="E640:F640"/>
    <mergeCell ref="G640:H640"/>
    <mergeCell ref="I640:J640"/>
    <mergeCell ref="K640:L640"/>
    <mergeCell ref="K641:L641"/>
    <mergeCell ref="M641:N641"/>
    <mergeCell ref="M640:N640"/>
    <mergeCell ref="O640:P640"/>
    <mergeCell ref="C641:D641"/>
    <mergeCell ref="E641:F641"/>
    <mergeCell ref="G641:H641"/>
    <mergeCell ref="I641:J641"/>
    <mergeCell ref="O641:P641"/>
    <mergeCell ref="M642:N642"/>
    <mergeCell ref="O642:P642"/>
    <mergeCell ref="A641:B641"/>
    <mergeCell ref="A642:B642"/>
    <mergeCell ref="C642:D642"/>
    <mergeCell ref="E642:F642"/>
    <mergeCell ref="G642:H642"/>
    <mergeCell ref="I642:J642"/>
    <mergeCell ref="K642:L642"/>
    <mergeCell ref="C637:D637"/>
    <mergeCell ref="E637:F637"/>
    <mergeCell ref="G637:H637"/>
    <mergeCell ref="I637:J637"/>
    <mergeCell ref="K637:L637"/>
    <mergeCell ref="M637:N637"/>
    <mergeCell ref="O637:P637"/>
    <mergeCell ref="M638:N638"/>
    <mergeCell ref="O638:P638"/>
    <mergeCell ref="A637:B637"/>
    <mergeCell ref="A638:B638"/>
    <mergeCell ref="C638:D638"/>
    <mergeCell ref="E638:F638"/>
    <mergeCell ref="G638:H638"/>
    <mergeCell ref="I638:J638"/>
    <mergeCell ref="K638:L638"/>
    <mergeCell ref="C639:D639"/>
    <mergeCell ref="E639:F639"/>
    <mergeCell ref="G639:H639"/>
    <mergeCell ref="I639:J639"/>
    <mergeCell ref="K639:L639"/>
    <mergeCell ref="M639:N639"/>
    <mergeCell ref="O639:P639"/>
    <mergeCell ref="A639:B639"/>
    <mergeCell ref="C615:D615"/>
    <mergeCell ref="E615:F615"/>
    <mergeCell ref="G615:H615"/>
    <mergeCell ref="I615:J615"/>
    <mergeCell ref="K615:L615"/>
    <mergeCell ref="M615:N615"/>
    <mergeCell ref="O615:P615"/>
    <mergeCell ref="M616:N616"/>
    <mergeCell ref="O616:P616"/>
    <mergeCell ref="K632:L632"/>
    <mergeCell ref="M632:N632"/>
    <mergeCell ref="O632:P632"/>
    <mergeCell ref="A635:B635"/>
    <mergeCell ref="A636:B636"/>
    <mergeCell ref="C636:D636"/>
    <mergeCell ref="E636:F636"/>
    <mergeCell ref="G636:H636"/>
    <mergeCell ref="I636:J636"/>
    <mergeCell ref="K636:L636"/>
    <mergeCell ref="I635:J635"/>
    <mergeCell ref="K635:L635"/>
    <mergeCell ref="M635:N635"/>
    <mergeCell ref="O635:P635"/>
    <mergeCell ref="M636:N636"/>
    <mergeCell ref="O636:P636"/>
    <mergeCell ref="C610:D611"/>
    <mergeCell ref="E610:F611"/>
    <mergeCell ref="A612:B612"/>
    <mergeCell ref="C612:D612"/>
    <mergeCell ref="E612:F612"/>
    <mergeCell ref="G612:H612"/>
    <mergeCell ref="I612:J612"/>
    <mergeCell ref="C613:D613"/>
    <mergeCell ref="E613:F613"/>
    <mergeCell ref="G613:H613"/>
    <mergeCell ref="I613:J613"/>
    <mergeCell ref="K613:L613"/>
    <mergeCell ref="M613:N613"/>
    <mergeCell ref="O613:P613"/>
    <mergeCell ref="M614:N614"/>
    <mergeCell ref="O614:P614"/>
    <mergeCell ref="A613:B613"/>
    <mergeCell ref="A614:B614"/>
    <mergeCell ref="C614:D614"/>
    <mergeCell ref="E614:F614"/>
    <mergeCell ref="G614:H614"/>
    <mergeCell ref="I614:J614"/>
    <mergeCell ref="K614:L614"/>
    <mergeCell ref="C623:D623"/>
    <mergeCell ref="E623:F623"/>
    <mergeCell ref="G623:H623"/>
    <mergeCell ref="I623:J623"/>
    <mergeCell ref="K623:L623"/>
    <mergeCell ref="M623:N623"/>
    <mergeCell ref="O623:P623"/>
    <mergeCell ref="A623:B623"/>
    <mergeCell ref="A624:B624"/>
    <mergeCell ref="C624:D624"/>
    <mergeCell ref="E624:F624"/>
    <mergeCell ref="G624:H624"/>
    <mergeCell ref="I624:J624"/>
    <mergeCell ref="K624:L624"/>
    <mergeCell ref="K630:L631"/>
    <mergeCell ref="M630:N631"/>
    <mergeCell ref="M624:N624"/>
    <mergeCell ref="O624:P624"/>
    <mergeCell ref="F628:G628"/>
    <mergeCell ref="H628:J628"/>
    <mergeCell ref="A630:B631"/>
    <mergeCell ref="C630:D631"/>
    <mergeCell ref="E630:F631"/>
    <mergeCell ref="O630:P631"/>
    <mergeCell ref="K621:L621"/>
    <mergeCell ref="M621:N621"/>
    <mergeCell ref="M620:N620"/>
    <mergeCell ref="O620:P620"/>
    <mergeCell ref="C621:D621"/>
    <mergeCell ref="E621:F621"/>
    <mergeCell ref="G621:H621"/>
    <mergeCell ref="I621:J621"/>
    <mergeCell ref="O621:P621"/>
    <mergeCell ref="M622:N622"/>
    <mergeCell ref="O622:P622"/>
    <mergeCell ref="A621:B621"/>
    <mergeCell ref="A622:B622"/>
    <mergeCell ref="C622:D622"/>
    <mergeCell ref="E622:F622"/>
    <mergeCell ref="G622:H622"/>
    <mergeCell ref="I622:J622"/>
    <mergeCell ref="K622:L622"/>
    <mergeCell ref="E617:F617"/>
    <mergeCell ref="G617:H617"/>
    <mergeCell ref="I617:J617"/>
    <mergeCell ref="K617:L617"/>
    <mergeCell ref="M617:N617"/>
    <mergeCell ref="O617:P617"/>
    <mergeCell ref="C619:D619"/>
    <mergeCell ref="E619:F619"/>
    <mergeCell ref="G619:H619"/>
    <mergeCell ref="I619:J619"/>
    <mergeCell ref="K619:L619"/>
    <mergeCell ref="M619:N619"/>
    <mergeCell ref="O619:P619"/>
    <mergeCell ref="A619:B619"/>
    <mergeCell ref="A620:B620"/>
    <mergeCell ref="C620:D620"/>
    <mergeCell ref="E620:F620"/>
    <mergeCell ref="G620:H620"/>
    <mergeCell ref="I620:J620"/>
    <mergeCell ref="K620:L620"/>
    <mergeCell ref="A587:B587"/>
    <mergeCell ref="C587:D587"/>
    <mergeCell ref="E587:F587"/>
    <mergeCell ref="G587:H587"/>
    <mergeCell ref="I587:J587"/>
    <mergeCell ref="K587:L587"/>
    <mergeCell ref="J592:K592"/>
    <mergeCell ref="L592:N592"/>
    <mergeCell ref="M587:N587"/>
    <mergeCell ref="O587:P587"/>
    <mergeCell ref="A588:F590"/>
    <mergeCell ref="G588:P588"/>
    <mergeCell ref="G589:P589"/>
    <mergeCell ref="G590:P590"/>
    <mergeCell ref="A592:B592"/>
    <mergeCell ref="M618:N618"/>
    <mergeCell ref="O618:P618"/>
    <mergeCell ref="A617:B617"/>
    <mergeCell ref="A618:B618"/>
    <mergeCell ref="C618:D618"/>
    <mergeCell ref="E618:F618"/>
    <mergeCell ref="G618:H618"/>
    <mergeCell ref="I618:J618"/>
    <mergeCell ref="K618:L618"/>
    <mergeCell ref="A615:B615"/>
    <mergeCell ref="A616:B616"/>
    <mergeCell ref="C616:D616"/>
    <mergeCell ref="E616:F616"/>
    <mergeCell ref="G616:H616"/>
    <mergeCell ref="I616:J616"/>
    <mergeCell ref="K616:L616"/>
    <mergeCell ref="C617:D617"/>
    <mergeCell ref="M585:N585"/>
    <mergeCell ref="O585:P585"/>
    <mergeCell ref="A584:B584"/>
    <mergeCell ref="A585:B585"/>
    <mergeCell ref="C585:D585"/>
    <mergeCell ref="E585:F585"/>
    <mergeCell ref="G585:H585"/>
    <mergeCell ref="I585:J585"/>
    <mergeCell ref="K585:L585"/>
    <mergeCell ref="C586:D586"/>
    <mergeCell ref="E586:F586"/>
    <mergeCell ref="G586:H586"/>
    <mergeCell ref="I586:J586"/>
    <mergeCell ref="K586:L586"/>
    <mergeCell ref="M586:N586"/>
    <mergeCell ref="O586:P586"/>
    <mergeCell ref="A586:B586"/>
    <mergeCell ref="I582:J582"/>
    <mergeCell ref="K582:L582"/>
    <mergeCell ref="M582:N582"/>
    <mergeCell ref="O582:P582"/>
    <mergeCell ref="A582:B582"/>
    <mergeCell ref="A583:B583"/>
    <mergeCell ref="C583:D583"/>
    <mergeCell ref="E583:F583"/>
    <mergeCell ref="G583:H583"/>
    <mergeCell ref="I583:J583"/>
    <mergeCell ref="K583:L583"/>
    <mergeCell ref="K584:L584"/>
    <mergeCell ref="M584:N584"/>
    <mergeCell ref="M583:N583"/>
    <mergeCell ref="O583:P583"/>
    <mergeCell ref="C584:D584"/>
    <mergeCell ref="E584:F584"/>
    <mergeCell ref="G584:H584"/>
    <mergeCell ref="I584:J584"/>
    <mergeCell ref="O584:P584"/>
    <mergeCell ref="G569:H569"/>
    <mergeCell ref="I569:J569"/>
    <mergeCell ref="K569:L569"/>
    <mergeCell ref="C570:D570"/>
    <mergeCell ref="E570:F570"/>
    <mergeCell ref="G570:H570"/>
    <mergeCell ref="I570:J570"/>
    <mergeCell ref="K570:L570"/>
    <mergeCell ref="M570:N570"/>
    <mergeCell ref="O570:P570"/>
    <mergeCell ref="M571:N571"/>
    <mergeCell ref="O571:P571"/>
    <mergeCell ref="K612:L612"/>
    <mergeCell ref="M612:N612"/>
    <mergeCell ref="O612:P612"/>
    <mergeCell ref="A570:B570"/>
    <mergeCell ref="A571:B571"/>
    <mergeCell ref="C571:D571"/>
    <mergeCell ref="E571:F571"/>
    <mergeCell ref="G571:H571"/>
    <mergeCell ref="I571:J571"/>
    <mergeCell ref="K571:L571"/>
    <mergeCell ref="C572:D572"/>
    <mergeCell ref="E572:F572"/>
    <mergeCell ref="G572:H572"/>
    <mergeCell ref="I572:J572"/>
    <mergeCell ref="K572:L572"/>
    <mergeCell ref="M572:N572"/>
    <mergeCell ref="O572:P572"/>
    <mergeCell ref="C582:D582"/>
    <mergeCell ref="E582:F582"/>
    <mergeCell ref="G582:H582"/>
    <mergeCell ref="G610:H611"/>
    <mergeCell ref="I610:J611"/>
    <mergeCell ref="K610:L611"/>
    <mergeCell ref="M610:N611"/>
    <mergeCell ref="C592:D592"/>
    <mergeCell ref="E592:G592"/>
    <mergeCell ref="A593:P604"/>
    <mergeCell ref="A605:P606"/>
    <mergeCell ref="F607:G607"/>
    <mergeCell ref="H607:J607"/>
    <mergeCell ref="A610:B611"/>
    <mergeCell ref="O610:P611"/>
    <mergeCell ref="C566:D566"/>
    <mergeCell ref="E566:F566"/>
    <mergeCell ref="A567:B567"/>
    <mergeCell ref="C567:D567"/>
    <mergeCell ref="E567:F567"/>
    <mergeCell ref="G567:H567"/>
    <mergeCell ref="I567:J567"/>
    <mergeCell ref="C568:D568"/>
    <mergeCell ref="E568:F568"/>
    <mergeCell ref="G568:H568"/>
    <mergeCell ref="I568:J568"/>
    <mergeCell ref="K568:L568"/>
    <mergeCell ref="M568:N568"/>
    <mergeCell ref="O568:P568"/>
    <mergeCell ref="M569:N569"/>
    <mergeCell ref="O569:P569"/>
    <mergeCell ref="A568:B568"/>
    <mergeCell ref="A569:B569"/>
    <mergeCell ref="C569:D569"/>
    <mergeCell ref="E569:F569"/>
  </mergeCells>
  <printOptions horizontalCentered="1"/>
  <pageMargins left="0.7" right="0.7" top="0.75" bottom="0.75" header="0" footer="0"/>
  <pageSetup paperSize="9" pageOrder="overThenDown" orientation="portrait" cellComments="atEnd"/>
  <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BD!$B$1:$P$1</xm:f>
          </x14:formula1>
          <xm:sqref>D100 G100 J100 M100 D144 G144 J144 M144 D220 G220 J220 M220 D241 G241 J241 M241 D263 G263 J263 M263 D306 G306 J306 M306 D349 K349 D395 G395 J395 M395 D435 G435 J435 M435 D478 G478 J478 M478 D527 G527 J527 M527 C564 C592 J592 C657 J657 D822 K822 D865 K865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245"/>
  <sheetViews>
    <sheetView workbookViewId="0"/>
  </sheetViews>
  <sheetFormatPr defaultColWidth="12.5703125" defaultRowHeight="15.75" customHeight="1"/>
  <cols>
    <col min="1" max="1" width="36.85546875" customWidth="1"/>
  </cols>
  <sheetData>
    <row r="1" spans="1:16">
      <c r="A1" s="34" t="str">
        <f>Avaliação!B1</f>
        <v>Claudinei Rogério Gasparoto</v>
      </c>
      <c r="B1" s="12" t="str">
        <f>Avaliação!D2</f>
        <v>Av1</v>
      </c>
      <c r="C1" s="12" t="str">
        <f>Avaliação!F2</f>
        <v>Av2</v>
      </c>
      <c r="D1" s="12" t="str">
        <f>Avaliação!H2</f>
        <v>Av3</v>
      </c>
      <c r="E1" s="12" t="str">
        <f>Avaliação!J2</f>
        <v>Av4</v>
      </c>
      <c r="F1" s="12" t="str">
        <f>Avaliação!L2</f>
        <v>Av5</v>
      </c>
      <c r="G1" s="12" t="str">
        <f>Avaliação!N2</f>
        <v>Av6</v>
      </c>
      <c r="H1" s="12" t="str">
        <f>Avaliação!P2</f>
        <v>Av7</v>
      </c>
      <c r="I1" s="12" t="str">
        <f>Avaliação!R2</f>
        <v>Av8</v>
      </c>
      <c r="J1" s="12" t="str">
        <f>Avaliação!T2</f>
        <v>Av9</v>
      </c>
      <c r="K1" s="12" t="str">
        <f>Avaliação!V2</f>
        <v>Av10</v>
      </c>
      <c r="L1" s="12" t="str">
        <f>Avaliação!X2</f>
        <v>Av11</v>
      </c>
      <c r="M1" s="12" t="str">
        <f>Avaliação!Z2</f>
        <v>Av12</v>
      </c>
      <c r="N1" s="12" t="str">
        <f>Avaliação!AB2</f>
        <v>Av13</v>
      </c>
      <c r="O1" s="12" t="str">
        <f>Avaliação!AD2</f>
        <v>Av14</v>
      </c>
      <c r="P1" s="12" t="str">
        <f>Avaliação!AF2</f>
        <v>Av15</v>
      </c>
    </row>
    <row r="2" spans="1:16">
      <c r="A2" s="34" t="str">
        <f>Avaliação!A3</f>
        <v>Data da avaliação(DD/MM/YYYY)</v>
      </c>
      <c r="B2" s="112">
        <f>Avaliação!D3</f>
        <v>44517</v>
      </c>
      <c r="C2" s="112">
        <f>Avaliação!F3</f>
        <v>44733</v>
      </c>
      <c r="D2" s="112">
        <f>Avaliação!H3</f>
        <v>44949</v>
      </c>
      <c r="E2" s="112">
        <f>Avaliação!J3</f>
        <v>45078</v>
      </c>
      <c r="F2" s="112">
        <f>Avaliação!L3</f>
        <v>45301</v>
      </c>
      <c r="G2" s="112">
        <f>Avaliação!N3</f>
        <v>45433</v>
      </c>
      <c r="H2" s="112">
        <f>Avaliação!P3</f>
        <v>45611</v>
      </c>
      <c r="I2" s="112">
        <f>Avaliação!R3</f>
        <v>45752</v>
      </c>
      <c r="J2" s="112">
        <f>Avaliação!T3</f>
        <v>45829</v>
      </c>
      <c r="K2" s="112">
        <f>Avaliação!V3</f>
        <v>45938</v>
      </c>
      <c r="L2" s="112">
        <f>Avaliação!X3</f>
        <v>45993</v>
      </c>
      <c r="M2" s="112">
        <f>Avaliação!Z3</f>
        <v>46064</v>
      </c>
      <c r="N2" s="112">
        <f>Avaliação!AB3</f>
        <v>0</v>
      </c>
      <c r="O2" s="112">
        <f>Avaliação!AD3</f>
        <v>0</v>
      </c>
      <c r="P2" s="112">
        <f>Avaliação!AF3</f>
        <v>0</v>
      </c>
    </row>
    <row r="3" spans="1:16">
      <c r="A3" s="34" t="str">
        <f>Avaliação!A5</f>
        <v>Hora da avaliação(hh:mm)</v>
      </c>
      <c r="B3" s="146">
        <f>Avaliação!D5</f>
        <v>0.47916666666666669</v>
      </c>
      <c r="C3" s="146">
        <f>Avaliação!F5</f>
        <v>0.47916666666666669</v>
      </c>
      <c r="D3" s="146">
        <f>Avaliação!H5</f>
        <v>0.47916666666666669</v>
      </c>
      <c r="E3" s="146">
        <f>Avaliação!J5</f>
        <v>0.47916666666666669</v>
      </c>
      <c r="F3" s="146">
        <f>Avaliação!L5</f>
        <v>0.625</v>
      </c>
      <c r="G3" s="146">
        <f>Avaliação!N5</f>
        <v>0.58333333333333337</v>
      </c>
      <c r="H3" s="146">
        <f>Avaliação!P5</f>
        <v>0.33333333333333331</v>
      </c>
      <c r="I3" s="146">
        <f>Avaliação!R5</f>
        <v>0.375</v>
      </c>
      <c r="J3" s="146">
        <f>Avaliação!T5</f>
        <v>0.33333333333333331</v>
      </c>
      <c r="K3" s="146">
        <f>Avaliação!V5</f>
        <v>0.33333333333333331</v>
      </c>
      <c r="L3" s="146">
        <f>Avaliação!X5</f>
        <v>0.33333333333333331</v>
      </c>
      <c r="M3" s="146">
        <f>Avaliação!Z5</f>
        <v>0.72916666666666663</v>
      </c>
      <c r="N3" s="146">
        <f>Avaliação!AB5</f>
        <v>0</v>
      </c>
      <c r="O3" s="146">
        <f>Avaliação!AD5</f>
        <v>0</v>
      </c>
      <c r="P3" s="146">
        <f>Avaliação!AF5</f>
        <v>0</v>
      </c>
    </row>
    <row r="4" spans="1:16">
      <c r="A4" s="34" t="str">
        <f>Avaliação!A6</f>
        <v>Avaliador</v>
      </c>
      <c r="B4" s="12" t="str">
        <f>Avaliação!D6</f>
        <v>Luis Felipe</v>
      </c>
      <c r="C4" s="12" t="str">
        <f>Avaliação!F6</f>
        <v>Luis Felipe</v>
      </c>
      <c r="D4" s="12" t="str">
        <f>Avaliação!H6</f>
        <v>Luis Felipe</v>
      </c>
      <c r="E4" s="12" t="str">
        <f>Avaliação!J6</f>
        <v>Luis Felipe</v>
      </c>
      <c r="F4" s="12" t="str">
        <f>Avaliação!L6</f>
        <v>Luis Felipe</v>
      </c>
      <c r="G4" s="12" t="str">
        <f>Avaliação!N6</f>
        <v>Luis Felipe</v>
      </c>
      <c r="H4" s="12" t="str">
        <f>Avaliação!P6</f>
        <v>Luis Felipe</v>
      </c>
      <c r="I4" s="12" t="str">
        <f>Avaliação!R6</f>
        <v>Luis Felipe</v>
      </c>
      <c r="J4" s="12" t="str">
        <f>Avaliação!T6</f>
        <v>Luis Felipe</v>
      </c>
      <c r="K4" s="12" t="str">
        <f>Avaliação!V6</f>
        <v>Luis Felipe</v>
      </c>
      <c r="L4" s="12" t="str">
        <f>Avaliação!X6</f>
        <v>Luis Felipe</v>
      </c>
      <c r="M4" s="12" t="str">
        <f>Avaliação!Z6</f>
        <v>Luis Felipe</v>
      </c>
      <c r="N4" s="12">
        <f>Avaliação!AB6</f>
        <v>0</v>
      </c>
      <c r="O4" s="12">
        <f>Avaliação!AD6</f>
        <v>0</v>
      </c>
      <c r="P4" s="12">
        <f>Avaliação!AF6</f>
        <v>0</v>
      </c>
    </row>
    <row r="5" spans="1:16">
      <c r="A5" s="34" t="str">
        <f>Avaliação!A7</f>
        <v>Idade</v>
      </c>
      <c r="B5" s="12">
        <f>Avaliação!D7</f>
        <v>49</v>
      </c>
      <c r="C5" s="12">
        <f>Avaliação!F7</f>
        <v>50</v>
      </c>
      <c r="D5" s="12">
        <f>Avaliação!H7</f>
        <v>50</v>
      </c>
      <c r="E5" s="12">
        <f>Avaliação!J7</f>
        <v>50</v>
      </c>
      <c r="F5" s="12">
        <f>Avaliação!L7</f>
        <v>51</v>
      </c>
      <c r="G5" s="12">
        <f>Avaliação!N7</f>
        <v>51</v>
      </c>
      <c r="H5" s="12">
        <f>Avaliação!P7</f>
        <v>52</v>
      </c>
      <c r="I5" s="12">
        <f>Avaliação!R7</f>
        <v>52</v>
      </c>
      <c r="J5" s="12">
        <f>Avaliação!T7</f>
        <v>53</v>
      </c>
      <c r="K5" s="12">
        <f>Avaliação!V7</f>
        <v>53</v>
      </c>
      <c r="L5" s="12">
        <f>Avaliação!X7</f>
        <v>53</v>
      </c>
      <c r="M5" s="12">
        <f>Avaliação!Z7</f>
        <v>53</v>
      </c>
      <c r="N5" s="12" t="str">
        <f>Avaliação!AB7</f>
        <v/>
      </c>
      <c r="O5" s="12" t="str">
        <f>Avaliação!AD7</f>
        <v/>
      </c>
      <c r="P5" s="12" t="str">
        <f>Avaliação!AF7</f>
        <v/>
      </c>
    </row>
    <row r="6" spans="1:16">
      <c r="A6" s="34" t="str">
        <f>Avaliação!A8</f>
        <v>Data da reavaliação</v>
      </c>
      <c r="B6" s="112">
        <f>Avaliação!D8</f>
        <v>44573</v>
      </c>
      <c r="C6" s="112">
        <f>Avaliação!F8</f>
        <v>44789</v>
      </c>
      <c r="D6" s="112">
        <f>Avaliação!H8</f>
        <v>45005</v>
      </c>
      <c r="E6" s="112">
        <f>Avaliação!J8</f>
        <v>45134</v>
      </c>
      <c r="F6" s="112">
        <f>Avaliação!L8</f>
        <v>45357</v>
      </c>
      <c r="G6" s="112">
        <f>Avaliação!N8</f>
        <v>45489</v>
      </c>
      <c r="H6" s="112">
        <f>Avaliação!P8</f>
        <v>45667</v>
      </c>
      <c r="I6" s="112">
        <f>Avaliação!R8</f>
        <v>45808</v>
      </c>
      <c r="J6" s="112">
        <f>Avaliação!T8</f>
        <v>45885</v>
      </c>
      <c r="K6" s="112">
        <f>Avaliação!V8</f>
        <v>45994</v>
      </c>
      <c r="L6" s="112">
        <f>Avaliação!X8</f>
        <v>46049</v>
      </c>
      <c r="M6" s="112">
        <f>Avaliação!Z8</f>
        <v>46120</v>
      </c>
      <c r="N6" s="112" t="str">
        <f>Avaliação!AB8</f>
        <v/>
      </c>
      <c r="O6" s="112" t="str">
        <f>Avaliação!AD8</f>
        <v/>
      </c>
      <c r="P6" s="112" t="str">
        <f>Avaliação!AF8</f>
        <v/>
      </c>
    </row>
    <row r="7" spans="1:16">
      <c r="B7" s="12"/>
      <c r="C7" s="12"/>
      <c r="D7" s="12"/>
      <c r="E7" s="12"/>
      <c r="F7" s="12"/>
      <c r="G7" s="12"/>
      <c r="H7" s="12"/>
      <c r="I7" s="12"/>
      <c r="J7" s="12"/>
      <c r="K7" s="12"/>
      <c r="L7" s="12"/>
      <c r="M7" s="12"/>
      <c r="N7" s="12"/>
      <c r="O7" s="12"/>
      <c r="P7" s="12"/>
    </row>
    <row r="8" spans="1:16">
      <c r="A8" s="34" t="str">
        <f>Avaliação!A10</f>
        <v>Peso (kg)</v>
      </c>
      <c r="B8" s="147">
        <f>IF(Avaliação!D10="","-",Avaliação!D10)</f>
        <v>75.7</v>
      </c>
      <c r="C8" s="147">
        <f>IF(Avaliação!F10="","-",Avaliação!F10)</f>
        <v>68</v>
      </c>
      <c r="D8" s="147">
        <f>IF(Avaliação!H10="","-",Avaliação!H10)</f>
        <v>62.7</v>
      </c>
      <c r="E8" s="147">
        <f>IF(Avaliação!J10="","-",Avaliação!J10)</f>
        <v>64.900000000000006</v>
      </c>
      <c r="F8" s="147">
        <f>IF(Avaliação!L10="","-",Avaliação!L10)</f>
        <v>67.7</v>
      </c>
      <c r="G8" s="147">
        <f>IF(Avaliação!N10="","-",Avaliação!N10)</f>
        <v>67.599999999999994</v>
      </c>
      <c r="H8" s="147">
        <f>IF(Avaliação!P10="","-",Avaliação!P10)</f>
        <v>67.599999999999994</v>
      </c>
      <c r="I8" s="147">
        <f>IF(Avaliação!R10="","-",Avaliação!R10)</f>
        <v>70.7</v>
      </c>
      <c r="J8" s="147">
        <f>IF(Avaliação!T10="","-",Avaliação!T10)</f>
        <v>69</v>
      </c>
      <c r="K8" s="147">
        <f>IF(Avaliação!V10="","-",Avaliação!V10)</f>
        <v>68.599999999999994</v>
      </c>
      <c r="L8" s="147">
        <f>IF(Avaliação!X10="","-",Avaliação!X10)</f>
        <v>67</v>
      </c>
      <c r="M8" s="147">
        <f>IF(Avaliação!Z10="","-",Avaliação!Z10)</f>
        <v>70</v>
      </c>
      <c r="N8" s="12" t="str">
        <f>IF(Avaliação!AB10="","-",Avaliação!AB10)</f>
        <v>-</v>
      </c>
      <c r="O8" s="12" t="str">
        <f>IF(Avaliação!AD10="","-",Avaliação!AD10)</f>
        <v>-</v>
      </c>
      <c r="P8" s="12" t="str">
        <f>IF(Avaliação!AF10="","-",Avaliação!AF10)</f>
        <v>-</v>
      </c>
    </row>
    <row r="9" spans="1:16">
      <c r="A9" s="34" t="str">
        <f>Avaliação!A11</f>
        <v>Estatura (cm)</v>
      </c>
      <c r="B9" s="147">
        <f>IF(Avaliação!D11="","-",Avaliação!D11)</f>
        <v>172.8</v>
      </c>
      <c r="C9" s="147">
        <f>IF(Avaliação!F11="","-",Avaliação!F11)</f>
        <v>172</v>
      </c>
      <c r="D9" s="147">
        <f>IF(Avaliação!H11="","-",Avaliação!H11)</f>
        <v>172</v>
      </c>
      <c r="E9" s="147">
        <f>IF(Avaliação!J11="","-",Avaliação!J11)</f>
        <v>172</v>
      </c>
      <c r="F9" s="147">
        <f>IF(Avaliação!L11="","-",Avaliação!L11)</f>
        <v>172</v>
      </c>
      <c r="G9" s="147">
        <f>IF(Avaliação!N11="","-",Avaliação!N11)</f>
        <v>172</v>
      </c>
      <c r="H9" s="147">
        <f>IF(Avaliação!P11="","-",Avaliação!P11)</f>
        <v>172</v>
      </c>
      <c r="I9" s="147">
        <f>IF(Avaliação!R11="","-",Avaliação!R11)</f>
        <v>172</v>
      </c>
      <c r="J9" s="147">
        <f>IF(Avaliação!T11="","-",Avaliação!T11)</f>
        <v>172</v>
      </c>
      <c r="K9" s="147">
        <f>IF(Avaliação!V11="","-",Avaliação!V11)</f>
        <v>172</v>
      </c>
      <c r="L9" s="147">
        <f>IF(Avaliação!X11="","-",Avaliação!X11)</f>
        <v>172</v>
      </c>
      <c r="M9" s="147">
        <f>IF(Avaliação!Z11="","-",Avaliação!Z11)</f>
        <v>172</v>
      </c>
      <c r="N9" s="12" t="str">
        <f>IF(Avaliação!AB11="","-",Avaliação!AB11)</f>
        <v>-</v>
      </c>
      <c r="O9" s="12" t="str">
        <f>IF(Avaliação!AD11="","-",Avaliação!AD11)</f>
        <v>-</v>
      </c>
      <c r="P9" s="12" t="str">
        <f>IF(Avaliação!AF11="","-",Avaliação!AF11)</f>
        <v>-</v>
      </c>
    </row>
    <row r="10" spans="1:16">
      <c r="B10" s="12"/>
      <c r="C10" s="12"/>
      <c r="D10" s="12"/>
      <c r="E10" s="12"/>
      <c r="F10" s="12"/>
      <c r="G10" s="12"/>
      <c r="H10" s="12"/>
      <c r="I10" s="12"/>
      <c r="J10" s="12"/>
      <c r="K10" s="12"/>
      <c r="L10" s="12"/>
      <c r="M10" s="12"/>
      <c r="N10" s="12"/>
      <c r="O10" s="12"/>
      <c r="P10" s="12"/>
    </row>
    <row r="11" spans="1:16">
      <c r="A11" s="34" t="str">
        <f>Avaliação!A13</f>
        <v>Escapular</v>
      </c>
      <c r="B11" s="147">
        <f>IF(Avaliação!D13="","-",Avaliação!D13)</f>
        <v>116.8</v>
      </c>
      <c r="C11" s="147">
        <f>IF(Avaliação!F13="","-",Avaliação!F13)</f>
        <v>111</v>
      </c>
      <c r="D11" s="147">
        <f>IF(Avaliação!H13="","-",Avaliação!H13)</f>
        <v>109</v>
      </c>
      <c r="E11" s="147">
        <f>IF(Avaliação!J13="","-",Avaliação!J13)</f>
        <v>110.5</v>
      </c>
      <c r="F11" s="147">
        <f>IF(Avaliação!L13="","-",Avaliação!L13)</f>
        <v>112.5</v>
      </c>
      <c r="G11" s="147">
        <f>IF(Avaliação!N13="","-",Avaliação!N13)</f>
        <v>112</v>
      </c>
      <c r="H11" s="147">
        <f>IF(Avaliação!P13="","-",Avaliação!P13)</f>
        <v>113</v>
      </c>
      <c r="I11" s="147">
        <f>IF(Avaliação!R13="","-",Avaliação!R13)</f>
        <v>113</v>
      </c>
      <c r="J11" s="147">
        <f>IF(Avaliação!T13="","-",Avaliação!T13)</f>
        <v>113</v>
      </c>
      <c r="K11" s="147">
        <f>IF(Avaliação!V13="","-",Avaliação!V13)</f>
        <v>113</v>
      </c>
      <c r="L11" s="12" t="str">
        <f>IF(Avaliação!X13="","-",Avaliação!X13)</f>
        <v>-</v>
      </c>
      <c r="M11" s="12" t="str">
        <f>IF(Avaliação!Z13="","-",Avaliação!Z13)</f>
        <v>-</v>
      </c>
      <c r="N11" s="12" t="str">
        <f>IF(Avaliação!AB13="","-",Avaliação!AB13)</f>
        <v>-</v>
      </c>
      <c r="O11" s="12" t="str">
        <f>IF(Avaliação!AD13="","-",Avaliação!AD13)</f>
        <v>-</v>
      </c>
      <c r="P11" s="12" t="str">
        <f>IF(Avaliação!AF13="","-",Avaliação!AF13)</f>
        <v>-</v>
      </c>
    </row>
    <row r="12" spans="1:16">
      <c r="A12" s="34" t="str">
        <f>Avaliação!A14</f>
        <v>Torácica Inspirada</v>
      </c>
      <c r="B12" s="147">
        <f>IF(Avaliação!D14="","-",Avaliação!D14)</f>
        <v>99</v>
      </c>
      <c r="C12" s="147">
        <f>IF(Avaliação!F14="","-",Avaliação!F14)</f>
        <v>96</v>
      </c>
      <c r="D12" s="147">
        <f>IF(Avaliação!H14="","-",Avaliação!H14)</f>
        <v>94</v>
      </c>
      <c r="E12" s="147">
        <f>IF(Avaliação!J14="","-",Avaliação!J14)</f>
        <v>95</v>
      </c>
      <c r="F12" s="147">
        <f>IF(Avaliação!L14="","-",Avaliação!L14)</f>
        <v>96.5</v>
      </c>
      <c r="G12" s="147">
        <f>IF(Avaliação!N14="","-",Avaliação!N14)</f>
        <v>97</v>
      </c>
      <c r="H12" s="147">
        <f>IF(Avaliação!P14="","-",Avaliação!P14)</f>
        <v>97</v>
      </c>
      <c r="I12" s="147">
        <f>IF(Avaliação!R14="","-",Avaliação!R14)</f>
        <v>96</v>
      </c>
      <c r="J12" s="147">
        <f>IF(Avaliação!T14="","-",Avaliação!T14)</f>
        <v>97</v>
      </c>
      <c r="K12" s="147">
        <f>IF(Avaliação!V14="","-",Avaliação!V14)</f>
        <v>95.5</v>
      </c>
      <c r="L12" s="12" t="str">
        <f>IF(Avaliação!X14="","-",Avaliação!X14)</f>
        <v>-</v>
      </c>
      <c r="M12" s="12" t="str">
        <f>IF(Avaliação!Z14="","-",Avaliação!Z14)</f>
        <v>-</v>
      </c>
      <c r="N12" s="12" t="str">
        <f>IF(Avaliação!AB14="","-",Avaliação!AB14)</f>
        <v>-</v>
      </c>
      <c r="O12" s="12" t="str">
        <f>IF(Avaliação!AD14="","-",Avaliação!AD14)</f>
        <v>-</v>
      </c>
      <c r="P12" s="12" t="str">
        <f>IF(Avaliação!AF14="","-",Avaliação!AF14)</f>
        <v>-</v>
      </c>
    </row>
    <row r="13" spans="1:16">
      <c r="A13" s="34" t="str">
        <f>Avaliação!A15</f>
        <v>Torácica Expirada</v>
      </c>
      <c r="B13" s="147">
        <f>IF(Avaliação!D15="","-",Avaliação!D15)</f>
        <v>97</v>
      </c>
      <c r="C13" s="147">
        <f>IF(Avaliação!F15="","-",Avaliação!F15)</f>
        <v>91</v>
      </c>
      <c r="D13" s="147">
        <f>IF(Avaliação!H15="","-",Avaliação!H15)</f>
        <v>88</v>
      </c>
      <c r="E13" s="147">
        <f>IF(Avaliação!J15="","-",Avaliação!J15)</f>
        <v>90</v>
      </c>
      <c r="F13" s="147">
        <f>IF(Avaliação!L15="","-",Avaliação!L15)</f>
        <v>92</v>
      </c>
      <c r="G13" s="147">
        <f>IF(Avaliação!N15="","-",Avaliação!N15)</f>
        <v>92.5</v>
      </c>
      <c r="H13" s="147">
        <f>IF(Avaliação!P15="","-",Avaliação!P15)</f>
        <v>92.5</v>
      </c>
      <c r="I13" s="147">
        <f>IF(Avaliação!R15="","-",Avaliação!R15)</f>
        <v>92</v>
      </c>
      <c r="J13" s="147">
        <f>IF(Avaliação!T15="","-",Avaliação!T15)</f>
        <v>91.5</v>
      </c>
      <c r="K13" s="147">
        <f>IF(Avaliação!V15="","-",Avaliação!V15)</f>
        <v>92.5</v>
      </c>
      <c r="L13" s="12" t="str">
        <f>IF(Avaliação!X15="","-",Avaliação!X15)</f>
        <v>-</v>
      </c>
      <c r="M13" s="12" t="str">
        <f>IF(Avaliação!Z15="","-",Avaliação!Z15)</f>
        <v>-</v>
      </c>
      <c r="N13" s="12" t="str">
        <f>IF(Avaliação!AB15="","-",Avaliação!AB15)</f>
        <v>-</v>
      </c>
      <c r="O13" s="12" t="str">
        <f>IF(Avaliação!AD15="","-",Avaliação!AD15)</f>
        <v>-</v>
      </c>
      <c r="P13" s="12" t="str">
        <f>IF(Avaliação!AF15="","-",Avaliação!AF15)</f>
        <v>-</v>
      </c>
    </row>
    <row r="14" spans="1:16">
      <c r="A14" s="34" t="str">
        <f>Avaliação!A16</f>
        <v>Abdominal</v>
      </c>
      <c r="B14" s="147">
        <f>IF(Avaliação!D16="","-",Avaliação!D16)</f>
        <v>88.5</v>
      </c>
      <c r="C14" s="147">
        <f>IF(Avaliação!F16="","-",Avaliação!F16)</f>
        <v>71.5</v>
      </c>
      <c r="D14" s="147">
        <f>IF(Avaliação!H16="","-",Avaliação!H16)</f>
        <v>73.5</v>
      </c>
      <c r="E14" s="147">
        <f>IF(Avaliação!J16="","-",Avaliação!J16)</f>
        <v>74.5</v>
      </c>
      <c r="F14" s="147">
        <f>IF(Avaliação!L16="","-",Avaliação!L16)</f>
        <v>77.5</v>
      </c>
      <c r="G14" s="147">
        <f>IF(Avaliação!N16="","-",Avaliação!N16)</f>
        <v>76</v>
      </c>
      <c r="H14" s="147">
        <f>IF(Avaliação!P16="","-",Avaliação!P16)</f>
        <v>77</v>
      </c>
      <c r="I14" s="147">
        <f>IF(Avaliação!R16="","-",Avaliação!R16)</f>
        <v>79</v>
      </c>
      <c r="J14" s="147">
        <f>IF(Avaliação!T16="","-",Avaliação!T16)</f>
        <v>77.5</v>
      </c>
      <c r="K14" s="147">
        <f>IF(Avaliação!V16="","-",Avaliação!V16)</f>
        <v>78</v>
      </c>
      <c r="L14" s="147">
        <f>IF(Avaliação!X16="","-",Avaliação!X16)</f>
        <v>76</v>
      </c>
      <c r="M14" s="147">
        <f>IF(Avaliação!Z16="","-",Avaliação!Z16)</f>
        <v>78</v>
      </c>
      <c r="N14" s="12" t="str">
        <f>IF(Avaliação!AB16="","-",Avaliação!AB16)</f>
        <v>-</v>
      </c>
      <c r="O14" s="12" t="str">
        <f>IF(Avaliação!AD16="","-",Avaliação!AD16)</f>
        <v>-</v>
      </c>
      <c r="P14" s="12" t="str">
        <f>IF(Avaliação!AF16="","-",Avaliação!AF16)</f>
        <v>-</v>
      </c>
    </row>
    <row r="15" spans="1:16">
      <c r="A15" s="34" t="str">
        <f>Avaliação!A17</f>
        <v>Quadril</v>
      </c>
      <c r="B15" s="147">
        <f>IF(Avaliação!D17="","-",Avaliação!D17)</f>
        <v>94</v>
      </c>
      <c r="C15" s="147">
        <f>IF(Avaliação!F17="","-",Avaliação!F17)</f>
        <v>88</v>
      </c>
      <c r="D15" s="147">
        <f>IF(Avaliação!H17="","-",Avaliação!H17)</f>
        <v>85</v>
      </c>
      <c r="E15" s="147">
        <f>IF(Avaliação!J17="","-",Avaliação!J17)</f>
        <v>86</v>
      </c>
      <c r="F15" s="147">
        <f>IF(Avaliação!L17="","-",Avaliação!L17)</f>
        <v>88.5</v>
      </c>
      <c r="G15" s="147">
        <f>IF(Avaliação!N17="","-",Avaliação!N17)</f>
        <v>88</v>
      </c>
      <c r="H15" s="147">
        <f>IF(Avaliação!P17="","-",Avaliação!P17)</f>
        <v>89</v>
      </c>
      <c r="I15" s="147">
        <f>IF(Avaliação!R17="","-",Avaliação!R17)</f>
        <v>90</v>
      </c>
      <c r="J15" s="147">
        <f>IF(Avaliação!T17="","-",Avaliação!T17)</f>
        <v>89</v>
      </c>
      <c r="K15" s="147">
        <f>IF(Avaliação!V17="","-",Avaliação!V17)</f>
        <v>88.5</v>
      </c>
      <c r="L15" s="147">
        <f>IF(Avaliação!X17="","-",Avaliação!X17)</f>
        <v>89</v>
      </c>
      <c r="M15" s="147">
        <f>IF(Avaliação!Z17="","-",Avaliação!Z17)</f>
        <v>89</v>
      </c>
      <c r="N15" s="12" t="str">
        <f>IF(Avaliação!AB17="","-",Avaliação!AB17)</f>
        <v>-</v>
      </c>
      <c r="O15" s="12" t="str">
        <f>IF(Avaliação!AD17="","-",Avaliação!AD17)</f>
        <v>-</v>
      </c>
      <c r="P15" s="12" t="str">
        <f>IF(Avaliação!AF17="","-",Avaliação!AF17)</f>
        <v>-</v>
      </c>
    </row>
    <row r="16" spans="1:16">
      <c r="A16" s="34" t="str">
        <f>Avaliação!A18</f>
        <v>Br. Dir. Rel.</v>
      </c>
      <c r="B16" s="147">
        <f>IF(Avaliação!D18="","-",Avaliação!D18)</f>
        <v>26.5</v>
      </c>
      <c r="C16" s="147">
        <f>IF(Avaliação!F18="","-",Avaliação!F18)</f>
        <v>27</v>
      </c>
      <c r="D16" s="147">
        <f>IF(Avaliação!H18="","-",Avaliação!H18)</f>
        <v>26</v>
      </c>
      <c r="E16" s="147">
        <f>IF(Avaliação!J18="","-",Avaliação!J18)</f>
        <v>26</v>
      </c>
      <c r="F16" s="147">
        <f>IF(Avaliação!L18="","-",Avaliação!L18)</f>
        <v>27.6</v>
      </c>
      <c r="G16" s="147">
        <f>IF(Avaliação!N18="","-",Avaliação!N18)</f>
        <v>27</v>
      </c>
      <c r="H16" s="147">
        <f>IF(Avaliação!P18="","-",Avaliação!P18)</f>
        <v>26.6</v>
      </c>
      <c r="I16" s="147">
        <f>IF(Avaliação!R18="","-",Avaliação!R18)</f>
        <v>28.5</v>
      </c>
      <c r="J16" s="147">
        <f>IF(Avaliação!T18="","-",Avaliação!T18)</f>
        <v>27</v>
      </c>
      <c r="K16" s="147">
        <f>IF(Avaliação!V18="","-",Avaliação!V18)</f>
        <v>27.2</v>
      </c>
      <c r="L16" s="12" t="str">
        <f>IF(Avaliação!X18="","-",Avaliação!X18)</f>
        <v>-</v>
      </c>
      <c r="M16" s="12" t="str">
        <f>IF(Avaliação!Z18="","-",Avaliação!Z18)</f>
        <v>-</v>
      </c>
      <c r="N16" s="12" t="str">
        <f>IF(Avaliação!AB18="","-",Avaliação!AB18)</f>
        <v>-</v>
      </c>
      <c r="O16" s="12" t="str">
        <f>IF(Avaliação!AD18="","-",Avaliação!AD18)</f>
        <v>-</v>
      </c>
      <c r="P16" s="12" t="str">
        <f>IF(Avaliação!AF18="","-",Avaliação!AF18)</f>
        <v>-</v>
      </c>
    </row>
    <row r="17" spans="1:16">
      <c r="A17" s="34" t="str">
        <f>Avaliação!A19</f>
        <v>Br. Dir. Con.</v>
      </c>
      <c r="B17" s="147">
        <f>IF(Avaliação!D19="","-",Avaliação!D19)</f>
        <v>30</v>
      </c>
      <c r="C17" s="147">
        <f>IF(Avaliação!F19="","-",Avaliação!F19)</f>
        <v>32</v>
      </c>
      <c r="D17" s="147">
        <f>IF(Avaliação!H19="","-",Avaliação!H19)</f>
        <v>30</v>
      </c>
      <c r="E17" s="147">
        <f>IF(Avaliação!J19="","-",Avaliação!J19)</f>
        <v>31</v>
      </c>
      <c r="F17" s="147">
        <f>IF(Avaliação!L19="","-",Avaliação!L19)</f>
        <v>32</v>
      </c>
      <c r="G17" s="147">
        <f>IF(Avaliação!N19="","-",Avaliação!N19)</f>
        <v>31</v>
      </c>
      <c r="H17" s="147">
        <f>IF(Avaliação!P19="","-",Avaliação!P19)</f>
        <v>32</v>
      </c>
      <c r="I17" s="147">
        <f>IF(Avaliação!R19="","-",Avaliação!R19)</f>
        <v>32.799999999999997</v>
      </c>
      <c r="J17" s="147">
        <f>IF(Avaliação!T19="","-",Avaliação!T19)</f>
        <v>32</v>
      </c>
      <c r="K17" s="147">
        <f>IF(Avaliação!V19="","-",Avaliação!V19)</f>
        <v>32</v>
      </c>
      <c r="L17" s="12" t="str">
        <f>IF(Avaliação!X19="","-",Avaliação!X19)</f>
        <v>-</v>
      </c>
      <c r="M17" s="12" t="str">
        <f>IF(Avaliação!Z19="","-",Avaliação!Z19)</f>
        <v>-</v>
      </c>
      <c r="N17" s="12" t="str">
        <f>IF(Avaliação!AB19="","-",Avaliação!AB19)</f>
        <v>-</v>
      </c>
      <c r="O17" s="12" t="str">
        <f>IF(Avaliação!AD19="","-",Avaliação!AD19)</f>
        <v>-</v>
      </c>
      <c r="P17" s="12" t="str">
        <f>IF(Avaliação!AF19="","-",Avaliação!AF19)</f>
        <v>-</v>
      </c>
    </row>
    <row r="18" spans="1:16">
      <c r="A18" s="34" t="str">
        <f>Avaliação!A20</f>
        <v>Coxa Dir.</v>
      </c>
      <c r="B18" s="147">
        <f>IF(Avaliação!D20="","-",Avaliação!D20)</f>
        <v>53</v>
      </c>
      <c r="C18" s="147">
        <f>IF(Avaliação!F20="","-",Avaliação!F20)</f>
        <v>51</v>
      </c>
      <c r="D18" s="147">
        <f>IF(Avaliação!H20="","-",Avaliação!H20)</f>
        <v>50</v>
      </c>
      <c r="E18" s="147">
        <f>IF(Avaliação!J20="","-",Avaliação!J20)</f>
        <v>51.5</v>
      </c>
      <c r="F18" s="147">
        <f>IF(Avaliação!L20="","-",Avaliação!L20)</f>
        <v>52</v>
      </c>
      <c r="G18" s="147">
        <f>IF(Avaliação!N20="","-",Avaliação!N20)</f>
        <v>52</v>
      </c>
      <c r="H18" s="147">
        <f>IF(Avaliação!P20="","-",Avaliação!P20)</f>
        <v>51</v>
      </c>
      <c r="I18" s="147">
        <f>IF(Avaliação!R20="","-",Avaliação!R20)</f>
        <v>53</v>
      </c>
      <c r="J18" s="147">
        <f>IF(Avaliação!T20="","-",Avaliação!T20)</f>
        <v>52.5</v>
      </c>
      <c r="K18" s="147">
        <f>IF(Avaliação!V20="","-",Avaliação!V20)</f>
        <v>53</v>
      </c>
      <c r="L18" s="12" t="str">
        <f>IF(Avaliação!X20="","-",Avaliação!X20)</f>
        <v>-</v>
      </c>
      <c r="M18" s="12" t="str">
        <f>IF(Avaliação!Z20="","-",Avaliação!Z20)</f>
        <v>-</v>
      </c>
      <c r="N18" s="12" t="str">
        <f>IF(Avaliação!AB20="","-",Avaliação!AB20)</f>
        <v>-</v>
      </c>
      <c r="O18" s="12" t="str">
        <f>IF(Avaliação!AD20="","-",Avaliação!AD20)</f>
        <v>-</v>
      </c>
      <c r="P18" s="12" t="str">
        <f>IF(Avaliação!AF20="","-",Avaliação!AF20)</f>
        <v>-</v>
      </c>
    </row>
    <row r="19" spans="1:16">
      <c r="A19" s="34" t="str">
        <f>Avaliação!A21</f>
        <v>Perna Dir.</v>
      </c>
      <c r="B19" s="147">
        <f>IF(Avaliação!D21="","-",Avaliação!D21)</f>
        <v>39.299999999999997</v>
      </c>
      <c r="C19" s="147">
        <f>IF(Avaliação!F21="","-",Avaliação!F21)</f>
        <v>38</v>
      </c>
      <c r="D19" s="147">
        <f>IF(Avaliação!H21="","-",Avaliação!H21)</f>
        <v>37.5</v>
      </c>
      <c r="E19" s="147">
        <f>IF(Avaliação!J21="","-",Avaliação!J21)</f>
        <v>37</v>
      </c>
      <c r="F19" s="147">
        <f>IF(Avaliação!L21="","-",Avaliação!L21)</f>
        <v>38</v>
      </c>
      <c r="G19" s="147">
        <f>IF(Avaliação!N21="","-",Avaliação!N21)</f>
        <v>39</v>
      </c>
      <c r="H19" s="147">
        <f>IF(Avaliação!P21="","-",Avaliação!P21)</f>
        <v>37</v>
      </c>
      <c r="I19" s="147">
        <f>IF(Avaliação!R21="","-",Avaliação!R21)</f>
        <v>38.6</v>
      </c>
      <c r="J19" s="147">
        <f>IF(Avaliação!T21="","-",Avaliação!T21)</f>
        <v>38</v>
      </c>
      <c r="K19" s="147">
        <f>IF(Avaliação!V21="","-",Avaliação!V21)</f>
        <v>38</v>
      </c>
      <c r="L19" s="12" t="str">
        <f>IF(Avaliação!X21="","-",Avaliação!X21)</f>
        <v>-</v>
      </c>
      <c r="M19" s="12" t="str">
        <f>IF(Avaliação!Z21="","-",Avaliação!Z21)</f>
        <v>-</v>
      </c>
      <c r="N19" s="12" t="str">
        <f>IF(Avaliação!AB21="","-",Avaliação!AB21)</f>
        <v>-</v>
      </c>
      <c r="O19" s="12" t="str">
        <f>IF(Avaliação!AD21="","-",Avaliação!AD21)</f>
        <v>-</v>
      </c>
      <c r="P19" s="12" t="str">
        <f>IF(Avaliação!AF21="","-",Avaliação!AF21)</f>
        <v>-</v>
      </c>
    </row>
    <row r="20" spans="1:16">
      <c r="A20" s="34" t="str">
        <f>Avaliação!A22</f>
        <v>Br. Esq. Rel.</v>
      </c>
      <c r="B20" s="147">
        <f>IF(Avaliação!D22="","-",Avaliação!D22)</f>
        <v>26.5</v>
      </c>
      <c r="C20" s="147">
        <f>IF(Avaliação!F22="","-",Avaliação!F22)</f>
        <v>27</v>
      </c>
      <c r="D20" s="147">
        <f>IF(Avaliação!H22="","-",Avaliação!H22)</f>
        <v>26</v>
      </c>
      <c r="E20" s="147">
        <f>IF(Avaliação!J22="","-",Avaliação!J22)</f>
        <v>26</v>
      </c>
      <c r="F20" s="147">
        <f>IF(Avaliação!L22="","-",Avaliação!L22)</f>
        <v>27</v>
      </c>
      <c r="G20" s="147">
        <f>IF(Avaliação!N22="","-",Avaliação!N22)</f>
        <v>26.5</v>
      </c>
      <c r="H20" s="147">
        <f>IF(Avaliação!P22="","-",Avaliação!P22)</f>
        <v>27</v>
      </c>
      <c r="I20" s="147">
        <f>IF(Avaliação!R22="","-",Avaliação!R22)</f>
        <v>28</v>
      </c>
      <c r="J20" s="147">
        <f>IF(Avaliação!T22="","-",Avaliação!T22)</f>
        <v>26.5</v>
      </c>
      <c r="K20" s="147">
        <f>IF(Avaliação!V22="","-",Avaliação!V22)</f>
        <v>26.7</v>
      </c>
      <c r="L20" s="12" t="str">
        <f>IF(Avaliação!X22="","-",Avaliação!X22)</f>
        <v>-</v>
      </c>
      <c r="M20" s="12" t="str">
        <f>IF(Avaliação!Z22="","-",Avaliação!Z22)</f>
        <v>-</v>
      </c>
      <c r="N20" s="12" t="str">
        <f>IF(Avaliação!AB22="","-",Avaliação!AB22)</f>
        <v>-</v>
      </c>
      <c r="O20" s="12" t="str">
        <f>IF(Avaliação!AD22="","-",Avaliação!AD22)</f>
        <v>-</v>
      </c>
      <c r="P20" s="12" t="str">
        <f>IF(Avaliação!AF22="","-",Avaliação!AF22)</f>
        <v>-</v>
      </c>
    </row>
    <row r="21" spans="1:16">
      <c r="A21" s="34" t="str">
        <f>Avaliação!A23</f>
        <v>Br. Esq. Con.</v>
      </c>
      <c r="B21" s="147">
        <f>IF(Avaliação!D23="","-",Avaliação!D23)</f>
        <v>30</v>
      </c>
      <c r="C21" s="147">
        <f>IF(Avaliação!F23="","-",Avaliação!F23)</f>
        <v>31</v>
      </c>
      <c r="D21" s="147">
        <f>IF(Avaliação!H23="","-",Avaliação!H23)</f>
        <v>30</v>
      </c>
      <c r="E21" s="147">
        <f>IF(Avaliação!J23="","-",Avaliação!J23)</f>
        <v>29.5</v>
      </c>
      <c r="F21" s="147">
        <f>IF(Avaliação!L23="","-",Avaliação!L23)</f>
        <v>31</v>
      </c>
      <c r="G21" s="147">
        <f>IF(Avaliação!N23="","-",Avaliação!N23)</f>
        <v>30</v>
      </c>
      <c r="H21" s="147">
        <f>IF(Avaliação!P23="","-",Avaliação!P23)</f>
        <v>31.5</v>
      </c>
      <c r="I21" s="147">
        <f>IF(Avaliação!R23="","-",Avaliação!R23)</f>
        <v>32</v>
      </c>
      <c r="J21" s="147">
        <f>IF(Avaliação!T23="","-",Avaliação!T23)</f>
        <v>31.5</v>
      </c>
      <c r="K21" s="147">
        <f>IF(Avaliação!V23="","-",Avaliação!V23)</f>
        <v>31</v>
      </c>
      <c r="L21" s="12" t="str">
        <f>IF(Avaliação!X23="","-",Avaliação!X23)</f>
        <v>-</v>
      </c>
      <c r="M21" s="12" t="str">
        <f>IF(Avaliação!Z23="","-",Avaliação!Z23)</f>
        <v>-</v>
      </c>
      <c r="N21" s="12" t="str">
        <f>IF(Avaliação!AB23="","-",Avaliação!AB23)</f>
        <v>-</v>
      </c>
      <c r="O21" s="12" t="str">
        <f>IF(Avaliação!AD23="","-",Avaliação!AD23)</f>
        <v>-</v>
      </c>
      <c r="P21" s="12" t="str">
        <f>IF(Avaliação!AF23="","-",Avaliação!AF23)</f>
        <v>-</v>
      </c>
    </row>
    <row r="22" spans="1:16">
      <c r="A22" s="34" t="str">
        <f>Avaliação!A24</f>
        <v>Coxa Esq.</v>
      </c>
      <c r="B22" s="147">
        <f>IF(Avaliação!D24="","-",Avaliação!D24)</f>
        <v>53.3</v>
      </c>
      <c r="C22" s="147">
        <f>IF(Avaliação!F24="","-",Avaliação!F24)</f>
        <v>51.5</v>
      </c>
      <c r="D22" s="147">
        <f>IF(Avaliação!H24="","-",Avaliação!H24)</f>
        <v>50</v>
      </c>
      <c r="E22" s="147">
        <f>IF(Avaliação!J24="","-",Avaliação!J24)</f>
        <v>52</v>
      </c>
      <c r="F22" s="147">
        <f>IF(Avaliação!L24="","-",Avaliação!L24)</f>
        <v>53</v>
      </c>
      <c r="G22" s="147">
        <f>IF(Avaliação!N24="","-",Avaliação!N24)</f>
        <v>52</v>
      </c>
      <c r="H22" s="147">
        <f>IF(Avaliação!P24="","-",Avaliação!P24)</f>
        <v>51</v>
      </c>
      <c r="I22" s="147">
        <f>IF(Avaliação!R24="","-",Avaliação!R24)</f>
        <v>53</v>
      </c>
      <c r="J22" s="147">
        <f>IF(Avaliação!T24="","-",Avaliação!T24)</f>
        <v>53</v>
      </c>
      <c r="K22" s="147">
        <f>IF(Avaliação!V24="","-",Avaliação!V24)</f>
        <v>53.5</v>
      </c>
      <c r="L22" s="12" t="str">
        <f>IF(Avaliação!X24="","-",Avaliação!X24)</f>
        <v>-</v>
      </c>
      <c r="M22" s="12" t="str">
        <f>IF(Avaliação!Z24="","-",Avaliação!Z24)</f>
        <v>-</v>
      </c>
      <c r="N22" s="12" t="str">
        <f>IF(Avaliação!AB24="","-",Avaliação!AB24)</f>
        <v>-</v>
      </c>
      <c r="O22" s="12" t="str">
        <f>IF(Avaliação!AD24="","-",Avaliação!AD24)</f>
        <v>-</v>
      </c>
      <c r="P22" s="12" t="str">
        <f>IF(Avaliação!AF24="","-",Avaliação!AF24)</f>
        <v>-</v>
      </c>
    </row>
    <row r="23" spans="1:16">
      <c r="A23" s="34" t="str">
        <f>Avaliação!A25</f>
        <v>Perna Esq.</v>
      </c>
      <c r="B23" s="147">
        <f>IF(Avaliação!D25="","-",Avaliação!D25)</f>
        <v>39</v>
      </c>
      <c r="C23" s="147">
        <f>IF(Avaliação!F25="","-",Avaliação!F25)</f>
        <v>37.5</v>
      </c>
      <c r="D23" s="147">
        <f>IF(Avaliação!H25="","-",Avaliação!H25)</f>
        <v>37</v>
      </c>
      <c r="E23" s="147">
        <f>IF(Avaliação!J25="","-",Avaliação!J25)</f>
        <v>37.200000000000003</v>
      </c>
      <c r="F23" s="147">
        <f>IF(Avaliação!L25="","-",Avaliação!L25)</f>
        <v>38</v>
      </c>
      <c r="G23" s="147">
        <f>IF(Avaliação!N25="","-",Avaliação!N25)</f>
        <v>39</v>
      </c>
      <c r="H23" s="147">
        <f>IF(Avaliação!P25="","-",Avaliação!P25)</f>
        <v>37</v>
      </c>
      <c r="I23" s="147">
        <f>IF(Avaliação!R25="","-",Avaliação!R25)</f>
        <v>39</v>
      </c>
      <c r="J23" s="147">
        <f>IF(Avaliação!T25="","-",Avaliação!T25)</f>
        <v>38.200000000000003</v>
      </c>
      <c r="K23" s="147">
        <f>IF(Avaliação!V25="","-",Avaliação!V25)</f>
        <v>37.5</v>
      </c>
      <c r="L23" s="12" t="str">
        <f>IF(Avaliação!X25="","-",Avaliação!X25)</f>
        <v>-</v>
      </c>
      <c r="M23" s="12" t="str">
        <f>IF(Avaliação!Z25="","-",Avaliação!Z25)</f>
        <v>-</v>
      </c>
      <c r="N23" s="12" t="str">
        <f>IF(Avaliação!AB25="","-",Avaliação!AB25)</f>
        <v>-</v>
      </c>
      <c r="O23" s="12" t="str">
        <f>IF(Avaliação!AD25="","-",Avaliação!AD25)</f>
        <v>-</v>
      </c>
      <c r="P23" s="12" t="str">
        <f>IF(Avaliação!AF25="","-",Avaliação!AF25)</f>
        <v>-</v>
      </c>
    </row>
    <row r="24" spans="1:16">
      <c r="B24" s="12"/>
      <c r="C24" s="12"/>
      <c r="D24" s="12"/>
      <c r="E24" s="12"/>
      <c r="F24" s="12"/>
      <c r="G24" s="12"/>
      <c r="H24" s="12"/>
      <c r="I24" s="12"/>
      <c r="J24" s="12"/>
      <c r="K24" s="12"/>
      <c r="L24" s="12"/>
      <c r="M24" s="12"/>
      <c r="N24" s="12"/>
      <c r="O24" s="12"/>
      <c r="P24" s="12"/>
    </row>
    <row r="25" spans="1:16">
      <c r="A25" s="34" t="str">
        <f>Avaliação!A27</f>
        <v>D.C. Tricipital</v>
      </c>
      <c r="B25" s="147">
        <f>IF(Avaliação!D27="","-",Avaliação!D27)</f>
        <v>9.6</v>
      </c>
      <c r="C25" s="147">
        <f>IF(Avaliação!F27="","-",Avaliação!F27)</f>
        <v>4.2</v>
      </c>
      <c r="D25" s="147">
        <f>IF(Avaliação!H27="","-",Avaliação!H27)</f>
        <v>4</v>
      </c>
      <c r="E25" s="147">
        <f>IF(Avaliação!J27="","-",Avaliação!J27)</f>
        <v>3.8</v>
      </c>
      <c r="F25" s="147">
        <f>IF(Avaliação!L27="","-",Avaliação!L27)</f>
        <v>4</v>
      </c>
      <c r="G25" s="147">
        <f>IF(Avaliação!N27="","-",Avaliação!N27)</f>
        <v>3.2</v>
      </c>
      <c r="H25" s="147">
        <f>IF(Avaliação!P27="","-",Avaliação!P27)</f>
        <v>3.2</v>
      </c>
      <c r="I25" s="147">
        <f>IF(Avaliação!R27="","-",Avaliação!R27)</f>
        <v>3.4</v>
      </c>
      <c r="J25" s="147">
        <f>IF(Avaliação!T27="","-",Avaliação!T27)</f>
        <v>3.4</v>
      </c>
      <c r="K25" s="147">
        <f>IF(Avaliação!V27="","-",Avaliação!V27)</f>
        <v>3.4</v>
      </c>
      <c r="L25" s="147">
        <f>IF(Avaliação!X27="","-",Avaliação!X27)</f>
        <v>3</v>
      </c>
      <c r="M25" s="147">
        <f>IF(Avaliação!Z27="","-",Avaliação!Z27)</f>
        <v>3.4</v>
      </c>
      <c r="N25" s="12" t="str">
        <f>IF(Avaliação!AB27="","-",Avaliação!AB27)</f>
        <v>-</v>
      </c>
      <c r="O25" s="12" t="str">
        <f>IF(Avaliação!AD27="","-",Avaliação!AD27)</f>
        <v>-</v>
      </c>
      <c r="P25" s="12" t="str">
        <f>IF(Avaliação!AF27="","-",Avaliação!AF27)</f>
        <v>-</v>
      </c>
    </row>
    <row r="26" spans="1:16">
      <c r="A26" s="34" t="str">
        <f>Avaliação!A28</f>
        <v>D.C. Subescapular</v>
      </c>
      <c r="B26" s="147">
        <f>IF(Avaliação!D28="","-",Avaliação!D28)</f>
        <v>29</v>
      </c>
      <c r="C26" s="147">
        <f>IF(Avaliação!F28="","-",Avaliação!F28)</f>
        <v>17.2</v>
      </c>
      <c r="D26" s="147">
        <f>IF(Avaliação!H28="","-",Avaliação!H28)</f>
        <v>10.3</v>
      </c>
      <c r="E26" s="147">
        <f>IF(Avaliação!J28="","-",Avaliação!J28)</f>
        <v>9.1999999999999993</v>
      </c>
      <c r="F26" s="147">
        <f>IF(Avaliação!L28="","-",Avaliação!L28)</f>
        <v>13</v>
      </c>
      <c r="G26" s="147">
        <f>IF(Avaliação!N28="","-",Avaliação!N28)</f>
        <v>10.4</v>
      </c>
      <c r="H26" s="147">
        <f>IF(Avaliação!P28="","-",Avaliação!P28)</f>
        <v>10.4</v>
      </c>
      <c r="I26" s="147">
        <f>IF(Avaliação!R28="","-",Avaliação!R28)</f>
        <v>15.1</v>
      </c>
      <c r="J26" s="147">
        <f>IF(Avaliação!T28="","-",Avaliação!T28)</f>
        <v>14.1</v>
      </c>
      <c r="K26" s="147">
        <f>IF(Avaliação!V28="","-",Avaliação!V28)</f>
        <v>12.4</v>
      </c>
      <c r="L26" s="147">
        <f>IF(Avaliação!X28="","-",Avaliação!X28)</f>
        <v>11</v>
      </c>
      <c r="M26" s="147">
        <f>IF(Avaliação!Z28="","-",Avaliação!Z28)</f>
        <v>12.4</v>
      </c>
      <c r="N26" s="12" t="str">
        <f>IF(Avaliação!AB28="","-",Avaliação!AB28)</f>
        <v>-</v>
      </c>
      <c r="O26" s="12" t="str">
        <f>IF(Avaliação!AD28="","-",Avaliação!AD28)</f>
        <v>-</v>
      </c>
      <c r="P26" s="12" t="str">
        <f>IF(Avaliação!AF28="","-",Avaliação!AF28)</f>
        <v>-</v>
      </c>
    </row>
    <row r="27" spans="1:16">
      <c r="A27" s="34" t="str">
        <f>Avaliação!A29</f>
        <v>D.C. Suprailíaca</v>
      </c>
      <c r="B27" s="147">
        <f>IF(Avaliação!D29="","-",Avaliação!D29)</f>
        <v>11.4</v>
      </c>
      <c r="C27" s="147">
        <f>IF(Avaliação!F29="","-",Avaliação!F29)</f>
        <v>4.5</v>
      </c>
      <c r="D27" s="147">
        <f>IF(Avaliação!H29="","-",Avaliação!H29)</f>
        <v>4.0999999999999996</v>
      </c>
      <c r="E27" s="147">
        <f>IF(Avaliação!J29="","-",Avaliação!J29)</f>
        <v>3.9</v>
      </c>
      <c r="F27" s="147">
        <f>IF(Avaliação!L29="","-",Avaliação!L29)</f>
        <v>4.5</v>
      </c>
      <c r="G27" s="147">
        <f>IF(Avaliação!N29="","-",Avaliação!N29)</f>
        <v>3.9</v>
      </c>
      <c r="H27" s="147">
        <f>IF(Avaliação!P29="","-",Avaliação!P29)</f>
        <v>3.8</v>
      </c>
      <c r="I27" s="147">
        <f>IF(Avaliação!R29="","-",Avaliação!R29)</f>
        <v>4.8</v>
      </c>
      <c r="J27" s="147">
        <f>IF(Avaliação!T29="","-",Avaliação!T29)</f>
        <v>4.5999999999999996</v>
      </c>
      <c r="K27" s="147">
        <f>IF(Avaliação!V29="","-",Avaliação!V29)</f>
        <v>4.3</v>
      </c>
      <c r="L27" s="147">
        <f>IF(Avaliação!X29="","-",Avaliação!X29)</f>
        <v>4.2</v>
      </c>
      <c r="M27" s="147">
        <f>IF(Avaliação!Z29="","-",Avaliação!Z29)</f>
        <v>4</v>
      </c>
      <c r="N27" s="12" t="str">
        <f>IF(Avaliação!AB29="","-",Avaliação!AB29)</f>
        <v>-</v>
      </c>
      <c r="O27" s="12" t="str">
        <f>IF(Avaliação!AD29="","-",Avaliação!AD29)</f>
        <v>-</v>
      </c>
      <c r="P27" s="12" t="str">
        <f>IF(Avaliação!AF29="","-",Avaliação!AF29)</f>
        <v>-</v>
      </c>
    </row>
    <row r="28" spans="1:16">
      <c r="A28" s="34" t="str">
        <f>Avaliação!A30</f>
        <v>D.C. Abdominal</v>
      </c>
      <c r="B28" s="147">
        <f>IF(Avaliação!D30="","-",Avaliação!D30)</f>
        <v>32</v>
      </c>
      <c r="C28" s="147">
        <f>IF(Avaliação!F30="","-",Avaliação!F30)</f>
        <v>13.6</v>
      </c>
      <c r="D28" s="147">
        <f>IF(Avaliação!H30="","-",Avaliação!H30)</f>
        <v>9.6</v>
      </c>
      <c r="E28" s="147">
        <f>IF(Avaliação!J30="","-",Avaliação!J30)</f>
        <v>9</v>
      </c>
      <c r="F28" s="147">
        <f>IF(Avaliação!L30="","-",Avaliação!L30)</f>
        <v>13.1</v>
      </c>
      <c r="G28" s="147">
        <f>IF(Avaliação!N30="","-",Avaliação!N30)</f>
        <v>8</v>
      </c>
      <c r="H28" s="147">
        <f>IF(Avaliação!P30="","-",Avaliação!P30)</f>
        <v>8.5</v>
      </c>
      <c r="I28" s="147">
        <f>IF(Avaliação!R30="","-",Avaliação!R30)</f>
        <v>13</v>
      </c>
      <c r="J28" s="147">
        <f>IF(Avaliação!T30="","-",Avaliação!T30)</f>
        <v>12.7</v>
      </c>
      <c r="K28" s="147">
        <f>IF(Avaliação!V30="","-",Avaliação!V30)</f>
        <v>12.8</v>
      </c>
      <c r="L28" s="147">
        <f>IF(Avaliação!X30="","-",Avaliação!X30)</f>
        <v>9.9</v>
      </c>
      <c r="M28" s="147">
        <f>IF(Avaliação!Z30="","-",Avaliação!Z30)</f>
        <v>9.4</v>
      </c>
      <c r="N28" s="12" t="str">
        <f>IF(Avaliação!AB30="","-",Avaliação!AB30)</f>
        <v>-</v>
      </c>
      <c r="O28" s="12" t="str">
        <f>IF(Avaliação!AD30="","-",Avaliação!AD30)</f>
        <v>-</v>
      </c>
      <c r="P28" s="12" t="str">
        <f>IF(Avaliação!AF30="","-",Avaliação!AF30)</f>
        <v>-</v>
      </c>
    </row>
    <row r="29" spans="1:16">
      <c r="A29" s="34" t="str">
        <f>Avaliação!A31</f>
        <v>D.C. Coxa</v>
      </c>
      <c r="B29" s="147">
        <f>IF(Avaliação!D31="","-",Avaliação!D31)</f>
        <v>7.7</v>
      </c>
      <c r="C29" s="147">
        <f>IF(Avaliação!F31="","-",Avaliação!F31)</f>
        <v>5.7</v>
      </c>
      <c r="D29" s="147">
        <f>IF(Avaliação!H31="","-",Avaliação!H31)</f>
        <v>4</v>
      </c>
      <c r="E29" s="147">
        <f>IF(Avaliação!J31="","-",Avaliação!J31)</f>
        <v>4.2</v>
      </c>
      <c r="F29" s="147">
        <f>IF(Avaliação!L31="","-",Avaliação!L31)</f>
        <v>4.8</v>
      </c>
      <c r="G29" s="147">
        <f>IF(Avaliação!N31="","-",Avaliação!N31)</f>
        <v>4.7</v>
      </c>
      <c r="H29" s="147">
        <f>IF(Avaliação!P31="","-",Avaliação!P31)</f>
        <v>3.5</v>
      </c>
      <c r="I29" s="147">
        <f>IF(Avaliação!R31="","-",Avaliação!R31)</f>
        <v>4.9000000000000004</v>
      </c>
      <c r="J29" s="147">
        <f>IF(Avaliação!T31="","-",Avaliação!T31)</f>
        <v>4.7</v>
      </c>
      <c r="K29" s="147">
        <f>IF(Avaliação!V31="","-",Avaliação!V31)</f>
        <v>5</v>
      </c>
      <c r="L29" s="147">
        <f>IF(Avaliação!X31="","-",Avaliação!X31)</f>
        <v>4.8</v>
      </c>
      <c r="M29" s="147">
        <f>IF(Avaliação!Z31="","-",Avaliação!Z31)</f>
        <v>4.2</v>
      </c>
      <c r="N29" s="12" t="str">
        <f>IF(Avaliação!AB31="","-",Avaliação!AB31)</f>
        <v>-</v>
      </c>
      <c r="O29" s="12" t="str">
        <f>IF(Avaliação!AD31="","-",Avaliação!AD31)</f>
        <v>-</v>
      </c>
      <c r="P29" s="12" t="str">
        <f>IF(Avaliação!AF31="","-",Avaliação!AF31)</f>
        <v>-</v>
      </c>
    </row>
    <row r="30" spans="1:16">
      <c r="A30" s="34" t="str">
        <f>Avaliação!A32</f>
        <v>Total de Dobras*</v>
      </c>
      <c r="B30" s="147">
        <f>IF(Avaliação!D32="","-",Avaliação!D32)</f>
        <v>89.7</v>
      </c>
      <c r="C30" s="147">
        <f>IF(Avaliação!F32="","-",Avaliação!F32)</f>
        <v>45.2</v>
      </c>
      <c r="D30" s="147">
        <f>IF(Avaliação!H32="","-",Avaliação!H32)</f>
        <v>32</v>
      </c>
      <c r="E30" s="147">
        <f>IF(Avaliação!J32="","-",Avaliação!J32)</f>
        <v>30.099999999999998</v>
      </c>
      <c r="F30" s="147">
        <f>IF(Avaliação!L32="","-",Avaliação!L32)</f>
        <v>39.4</v>
      </c>
      <c r="G30" s="147">
        <f>IF(Avaliação!N32="","-",Avaliação!N32)</f>
        <v>30.2</v>
      </c>
      <c r="H30" s="147">
        <f>IF(Avaliação!P32="","-",Avaliação!P32)</f>
        <v>29.400000000000002</v>
      </c>
      <c r="I30" s="147">
        <f>IF(Avaliação!R32="","-",Avaliação!R32)</f>
        <v>41.199999999999996</v>
      </c>
      <c r="J30" s="147">
        <f>IF(Avaliação!T32="","-",Avaliação!T32)</f>
        <v>39.5</v>
      </c>
      <c r="K30" s="147">
        <f>IF(Avaliação!V32="","-",Avaliação!V32)</f>
        <v>37.900000000000006</v>
      </c>
      <c r="L30" s="147">
        <f>IF(Avaliação!X32="","-",Avaliação!X32)</f>
        <v>32.9</v>
      </c>
      <c r="M30" s="147">
        <f>IF(Avaliação!Z32="","-",Avaliação!Z32)</f>
        <v>33.400000000000006</v>
      </c>
      <c r="N30" s="12" t="str">
        <f>IF(Avaliação!AB32="","-",Avaliação!AB32)</f>
        <v>-</v>
      </c>
      <c r="O30" s="12" t="str">
        <f>IF(Avaliação!AD32="","-",Avaliação!AD32)</f>
        <v>-</v>
      </c>
      <c r="P30" s="12" t="str">
        <f>IF(Avaliação!AF32="","-",Avaliação!AF32)</f>
        <v>-</v>
      </c>
    </row>
    <row r="31" spans="1:16">
      <c r="A31" s="34" t="str">
        <f>Avaliação!A33</f>
        <v>% Gordura</v>
      </c>
      <c r="B31" s="147">
        <f>IF(Avaliação!D33="","-",Avaliação!D33)</f>
        <v>18.869854774676131</v>
      </c>
      <c r="C31" s="147">
        <f>IF(Avaliação!F33="","-",Avaliação!F33)</f>
        <v>7.9336268643396046</v>
      </c>
      <c r="D31" s="147">
        <f>IF(Avaliação!H33="","-",Avaliação!H33)</f>
        <v>5.1008896109331126</v>
      </c>
      <c r="E31" s="147">
        <f>IF(Avaliação!J33="","-",Avaliação!J33)</f>
        <v>4.3933085423256024</v>
      </c>
      <c r="F31" s="147">
        <f>IF(Avaliação!L33="","-",Avaliação!L33)</f>
        <v>7.5404617011822772</v>
      </c>
      <c r="G31" s="147">
        <f>IF(Avaliação!N33="","-",Avaliação!N33)</f>
        <v>3.1731157196311699</v>
      </c>
      <c r="H31" s="147">
        <f>IF(Avaliação!P33="","-",Avaliação!P33)</f>
        <v>3.4892467242437775</v>
      </c>
      <c r="I31" s="147">
        <f>IF(Avaliação!R33="","-",Avaliação!R33)</f>
        <v>7.3103482217478977</v>
      </c>
      <c r="J31" s="147">
        <f>IF(Avaliação!T33="","-",Avaliação!T33)</f>
        <v>7.016858765108136</v>
      </c>
      <c r="K31" s="147">
        <f>IF(Avaliação!V33="","-",Avaliação!V33)</f>
        <v>6.8975808806644778</v>
      </c>
      <c r="L31" s="147">
        <f>IF(Avaliação!X33="","-",Avaliação!X33)</f>
        <v>4.6810318127050721</v>
      </c>
      <c r="M31" s="147">
        <f>IF(Avaliação!Z33="","-",Avaliação!Z33)</f>
        <v>4.4658459979710408</v>
      </c>
      <c r="N31" s="12" t="e">
        <f>IF(Avaliação!AB33="","-",Avaliação!AB33)</f>
        <v>#VALUE!</v>
      </c>
      <c r="O31" s="12" t="e">
        <f>IF(Avaliação!AD33="","-",Avaliação!AD33)</f>
        <v>#VALUE!</v>
      </c>
      <c r="P31" s="12" t="e">
        <f>IF(Avaliação!AF33="","-",Avaliação!AF33)</f>
        <v>#VALUE!</v>
      </c>
    </row>
    <row r="32" spans="1:16">
      <c r="A32" s="34" t="str">
        <f>Avaliação!A34</f>
        <v>Gordura Absoluta (kg)</v>
      </c>
      <c r="B32" s="147">
        <f>IF(Avaliação!D34="","-",Avaliação!D34)</f>
        <v>14.284480064429831</v>
      </c>
      <c r="C32" s="147">
        <f>IF(Avaliação!F34="","-",Avaliação!F34)</f>
        <v>5.3948662677509311</v>
      </c>
      <c r="D32" s="147">
        <f>IF(Avaliação!H34="","-",Avaliação!H34)</f>
        <v>3.1982577860550618</v>
      </c>
      <c r="E32" s="147">
        <f>IF(Avaliação!J34="","-",Avaliação!J34)</f>
        <v>2.8512572439693162</v>
      </c>
      <c r="F32" s="147">
        <f>IF(Avaliação!L34="","-",Avaliação!L34)</f>
        <v>5.1048925717004012</v>
      </c>
      <c r="G32" s="147">
        <f>IF(Avaliação!N34="","-",Avaliação!N34)</f>
        <v>2.1450262264706708</v>
      </c>
      <c r="H32" s="147">
        <f>IF(Avaliação!P34="","-",Avaliação!P34)</f>
        <v>2.3587307855887936</v>
      </c>
      <c r="I32" s="147">
        <f>IF(Avaliação!R34="","-",Avaliação!R34)</f>
        <v>5.168416192775763</v>
      </c>
      <c r="J32" s="147">
        <f>IF(Avaliação!T34="","-",Avaliação!T34)</f>
        <v>4.8416325479246138</v>
      </c>
      <c r="K32" s="147">
        <f>IF(Avaliação!V34="","-",Avaliação!V34)</f>
        <v>4.7317404841358313</v>
      </c>
      <c r="L32" s="147">
        <f>IF(Avaliação!X34="","-",Avaliação!X34)</f>
        <v>3.1362913145123978</v>
      </c>
      <c r="M32" s="147">
        <f>IF(Avaliação!Z34="","-",Avaliação!Z34)</f>
        <v>3.1260921985797285</v>
      </c>
      <c r="N32" s="12" t="e">
        <f>IF(Avaliação!AB34="","-",Avaliação!AB34)</f>
        <v>#VALUE!</v>
      </c>
      <c r="O32" s="12" t="e">
        <f>IF(Avaliação!AD34="","-",Avaliação!AD34)</f>
        <v>#VALUE!</v>
      </c>
      <c r="P32" s="12" t="e">
        <f>IF(Avaliação!AF34="","-",Avaliação!AF34)</f>
        <v>#VALUE!</v>
      </c>
    </row>
    <row r="33" spans="1:16">
      <c r="A33" s="34" t="str">
        <f>Avaliação!A35</f>
        <v>Massa Magra (kg)</v>
      </c>
      <c r="B33" s="147">
        <f>IF(Avaliação!D35="","-",Avaliação!D35)</f>
        <v>61.415519935570174</v>
      </c>
      <c r="C33" s="147">
        <f>IF(Avaliação!F35="","-",Avaliação!F35)</f>
        <v>62.605133732249072</v>
      </c>
      <c r="D33" s="147">
        <f>IF(Avaliação!H35="","-",Avaliação!H35)</f>
        <v>59.501742213944944</v>
      </c>
      <c r="E33" s="147">
        <f>IF(Avaliação!J35="","-",Avaliação!J35)</f>
        <v>62.048742756030691</v>
      </c>
      <c r="F33" s="147">
        <f>IF(Avaliação!L35="","-",Avaliação!L35)</f>
        <v>62.595107428299599</v>
      </c>
      <c r="G33" s="147">
        <f>IF(Avaliação!N35="","-",Avaliação!N35)</f>
        <v>65.454973773529318</v>
      </c>
      <c r="H33" s="147">
        <f>IF(Avaliação!P35="","-",Avaliação!P35)</f>
        <v>65.241269214411204</v>
      </c>
      <c r="I33" s="147">
        <f>IF(Avaliação!R35="","-",Avaliação!R35)</f>
        <v>65.531583807224237</v>
      </c>
      <c r="J33" s="147">
        <f>IF(Avaliação!T35="","-",Avaliação!T35)</f>
        <v>64.158367452075382</v>
      </c>
      <c r="K33" s="147">
        <f>IF(Avaliação!V35="","-",Avaliação!V35)</f>
        <v>63.86825951586416</v>
      </c>
      <c r="L33" s="147">
        <f>IF(Avaliação!X35="","-",Avaliação!X35)</f>
        <v>63.863708685487602</v>
      </c>
      <c r="M33" s="147">
        <f>IF(Avaliação!Z35="","-",Avaliação!Z35)</f>
        <v>66.873907801420273</v>
      </c>
      <c r="N33" s="12" t="e">
        <f>IF(Avaliação!AB35="","-",Avaliação!AB35)</f>
        <v>#VALUE!</v>
      </c>
      <c r="O33" s="12" t="e">
        <f>IF(Avaliação!AD35="","-",Avaliação!AD35)</f>
        <v>#VALUE!</v>
      </c>
      <c r="P33" s="12" t="e">
        <f>IF(Avaliação!AF35="","-",Avaliação!AF35)</f>
        <v>#VALUE!</v>
      </c>
    </row>
    <row r="34" spans="1:16">
      <c r="A34" s="34" t="str">
        <f>Avaliação!A36</f>
        <v>Massa Muscular 
(kg; bioimpedância)</v>
      </c>
      <c r="B34" s="147">
        <f>IF(Avaliação!D36="","-",Avaliação!D36)</f>
        <v>31.1</v>
      </c>
      <c r="C34" s="147">
        <f>IF(Avaliação!F36="","-",Avaliação!F36)</f>
        <v>31.5</v>
      </c>
      <c r="D34" s="147">
        <f>IF(Avaliação!H36="","-",Avaliação!H36)</f>
        <v>30.9</v>
      </c>
      <c r="E34" s="147">
        <f>IF(Avaliação!J36="","-",Avaliação!J36)</f>
        <v>33.5</v>
      </c>
      <c r="F34" s="147">
        <f>IF(Avaliação!L36="","-",Avaliação!L36)</f>
        <v>33.6</v>
      </c>
      <c r="G34" s="147">
        <f>IF(Avaliação!N36="","-",Avaliação!N36)</f>
        <v>34.1</v>
      </c>
      <c r="H34" s="147">
        <f>IF(Avaliação!P36="","-",Avaliação!P36)</f>
        <v>34.1</v>
      </c>
      <c r="I34" s="147">
        <f>IF(Avaliação!R36="","-",Avaliação!R36)</f>
        <v>34.1</v>
      </c>
      <c r="J34" s="147">
        <f>IF(Avaliação!T36="","-",Avaliação!T36)</f>
        <v>33.4</v>
      </c>
      <c r="K34" s="147">
        <f>IF(Avaliação!V36="","-",Avaliação!V36)</f>
        <v>34.1</v>
      </c>
      <c r="L34" s="147">
        <f>IF(Avaliação!X36="","-",Avaliação!X36)</f>
        <v>34.1</v>
      </c>
      <c r="M34" s="147">
        <f>IF(Avaliação!Z36="","-",Avaliação!Z36)</f>
        <v>34</v>
      </c>
      <c r="N34" s="12" t="str">
        <f>IF(Avaliação!AB36="","-",Avaliação!AB36)</f>
        <v>-</v>
      </c>
      <c r="O34" s="12" t="str">
        <f>IF(Avaliação!AD36="","-",Avaliação!AD36)</f>
        <v>-</v>
      </c>
      <c r="P34" s="12" t="str">
        <f>IF(Avaliação!AF36="","-",Avaliação!AF36)</f>
        <v>-</v>
      </c>
    </row>
    <row r="35" spans="1:16">
      <c r="A35" s="34" t="str">
        <f>Avaliação!A37</f>
        <v>Nível de Gordura Visceral (ua; bioimpedância)</v>
      </c>
      <c r="B35" s="147">
        <f>IF(Avaliação!D37="","-",Avaliação!D37)</f>
        <v>9</v>
      </c>
      <c r="C35" s="147">
        <f>IF(Avaliação!F37="","-",Avaliação!F37)</f>
        <v>8</v>
      </c>
      <c r="D35" s="147">
        <f>IF(Avaliação!H37="","-",Avaliação!H37)</f>
        <v>2</v>
      </c>
      <c r="E35" s="147">
        <f>IF(Avaliação!J37="","-",Avaliação!J37)</f>
        <v>1</v>
      </c>
      <c r="F35" s="147">
        <f>IF(Avaliação!L37="","-",Avaliação!L37)</f>
        <v>2</v>
      </c>
      <c r="G35" s="147">
        <f>IF(Avaliação!N37="","-",Avaliação!N37)</f>
        <v>2</v>
      </c>
      <c r="H35" s="147">
        <f>IF(Avaliação!P37="","-",Avaliação!P37)</f>
        <v>2</v>
      </c>
      <c r="I35" s="147">
        <f>IF(Avaliação!R37="","-",Avaliação!R37)</f>
        <v>6</v>
      </c>
      <c r="J35" s="147">
        <f>IF(Avaliação!T37="","-",Avaliação!T37)</f>
        <v>9</v>
      </c>
      <c r="K35" s="147">
        <f>IF(Avaliação!V37="","-",Avaliação!V37)</f>
        <v>8</v>
      </c>
      <c r="L35" s="147">
        <f>IF(Avaliação!X37="","-",Avaliação!X37)</f>
        <v>8</v>
      </c>
      <c r="M35" s="147">
        <f>IF(Avaliação!Z37="","-",Avaliação!Z37)</f>
        <v>9</v>
      </c>
      <c r="N35" s="12" t="str">
        <f>IF(Avaliação!AB37="","-",Avaliação!AB37)</f>
        <v>-</v>
      </c>
      <c r="O35" s="12" t="str">
        <f>IF(Avaliação!AD37="","-",Avaliação!AD37)</f>
        <v>-</v>
      </c>
      <c r="P35" s="12" t="str">
        <f>IF(Avaliação!AF37="","-",Avaliação!AF37)</f>
        <v>-</v>
      </c>
    </row>
    <row r="36" spans="1:16">
      <c r="A36" s="34" t="str">
        <f>Avaliação!A38</f>
        <v>Taxa Metabólica Basal
(kcal; bioimpedância)</v>
      </c>
      <c r="B36" s="12" t="str">
        <f>IF(Avaliação!D38="","-",Avaliação!D38)</f>
        <v>-</v>
      </c>
      <c r="C36" s="12" t="str">
        <f>IF(Avaliação!F38="","-",Avaliação!F38)</f>
        <v>-</v>
      </c>
      <c r="D36" s="12" t="str">
        <f>IF(Avaliação!H38="","-",Avaliação!H38)</f>
        <v>-</v>
      </c>
      <c r="E36" s="12" t="str">
        <f>IF(Avaliação!J38="","-",Avaliação!J38)</f>
        <v>-</v>
      </c>
      <c r="F36" s="12" t="str">
        <f>IF(Avaliação!L38="","-",Avaliação!L38)</f>
        <v>-</v>
      </c>
      <c r="G36" s="12" t="str">
        <f>IF(Avaliação!N38="","-",Avaliação!N38)</f>
        <v>-</v>
      </c>
      <c r="H36" s="147">
        <f>IF(Avaliação!P38="","-",Avaliação!P38)</f>
        <v>1498</v>
      </c>
      <c r="I36" s="147">
        <f>IF(Avaliação!R38="","-",Avaliação!R38)</f>
        <v>1668</v>
      </c>
      <c r="J36" s="147">
        <f>IF(Avaliação!T38="","-",Avaliação!T38)</f>
        <v>1639</v>
      </c>
      <c r="K36" s="147">
        <f>IF(Avaliação!V38="","-",Avaliação!V38)</f>
        <v>1639</v>
      </c>
      <c r="L36" s="147">
        <f>IF(Avaliação!X38="","-",Avaliação!X38)</f>
        <v>1601</v>
      </c>
      <c r="M36" s="147">
        <f>IF(Avaliação!Z38="","-",Avaliação!Z38)</f>
        <v>1630</v>
      </c>
      <c r="N36" s="12" t="str">
        <f>IF(Avaliação!AB38="","-",Avaliação!AB38)</f>
        <v>-</v>
      </c>
      <c r="O36" s="12" t="str">
        <f>IF(Avaliação!AD38="","-",Avaliação!AD38)</f>
        <v>-</v>
      </c>
      <c r="P36" s="12" t="str">
        <f>IF(Avaliação!AF38="","-",Avaliação!AF38)</f>
        <v>-</v>
      </c>
    </row>
    <row r="37" spans="1:16">
      <c r="A37" s="34" t="str">
        <f>Avaliação!A39</f>
        <v>Taxa Metabólica Basal
(kcal; Harris Benedict)</v>
      </c>
      <c r="B37" s="147">
        <f>IF(Avaliação!D39="","-",Avaliação!D39)</f>
        <v>1639.9184</v>
      </c>
      <c r="C37" s="147">
        <f>IF(Avaliação!F39="","-",Avaliação!F39)</f>
        <v>1523.2660000000001</v>
      </c>
      <c r="D37" s="147">
        <f>IF(Avaliação!H39="","-",Avaliação!H39)</f>
        <v>1450.3910000000001</v>
      </c>
      <c r="E37" s="147">
        <f>IF(Avaliação!J39="","-",Avaliação!J39)</f>
        <v>1480.6410000000001</v>
      </c>
      <c r="F37" s="147">
        <f>IF(Avaliação!L39="","-",Avaliação!L39)</f>
        <v>1512.366</v>
      </c>
      <c r="G37" s="147">
        <f>IF(Avaliação!N39="","-",Avaliação!N39)</f>
        <v>1510.991</v>
      </c>
      <c r="H37" s="147">
        <f>IF(Avaliação!P39="","-",Avaliação!P39)</f>
        <v>1504.2160000000001</v>
      </c>
      <c r="I37" s="147">
        <f>IF(Avaliação!R39="","-",Avaliação!R39)</f>
        <v>1546.8410000000001</v>
      </c>
      <c r="J37" s="147">
        <f>IF(Avaliação!T39="","-",Avaliação!T39)</f>
        <v>1516.691</v>
      </c>
      <c r="K37" s="147">
        <f>IF(Avaliação!V39="","-",Avaliação!V39)</f>
        <v>1511.191</v>
      </c>
      <c r="L37" s="147">
        <f>IF(Avaliação!X39="","-",Avaliação!X39)</f>
        <v>1489.191</v>
      </c>
      <c r="M37" s="147">
        <f>IF(Avaliação!Z39="","-",Avaliação!Z39)</f>
        <v>1530.441</v>
      </c>
      <c r="N37" s="12" t="str">
        <f>IF(Avaliação!AB39="","-",Avaliação!AB39)</f>
        <v>-</v>
      </c>
      <c r="O37" s="12" t="str">
        <f>IF(Avaliação!AD39="","-",Avaliação!AD39)</f>
        <v>-</v>
      </c>
      <c r="P37" s="12" t="str">
        <f>IF(Avaliação!AF39="","-",Avaliação!AF39)</f>
        <v>-</v>
      </c>
    </row>
    <row r="38" spans="1:16">
      <c r="A38" s="34" t="str">
        <f>Avaliação!A40</f>
        <v>Taxa Metabólica Basal
(kcal; Média)</v>
      </c>
      <c r="B38" s="147">
        <f>IF(Avaliação!D40="","-",Avaliação!D40)</f>
        <v>1639.9184</v>
      </c>
      <c r="C38" s="147">
        <f>IF(Avaliação!F40="","-",Avaliação!F40)</f>
        <v>1523.2660000000001</v>
      </c>
      <c r="D38" s="147">
        <f>IF(Avaliação!H40="","-",Avaliação!H40)</f>
        <v>1450.3910000000001</v>
      </c>
      <c r="E38" s="147">
        <f>IF(Avaliação!J40="","-",Avaliação!J40)</f>
        <v>1480.6410000000001</v>
      </c>
      <c r="F38" s="147">
        <f>IF(Avaliação!L40="","-",Avaliação!L40)</f>
        <v>1512.366</v>
      </c>
      <c r="G38" s="147">
        <f>IF(Avaliação!N40="","-",Avaliação!N40)</f>
        <v>1510.991</v>
      </c>
      <c r="H38" s="147">
        <f>IF(Avaliação!P40="","-",Avaliação!P40)</f>
        <v>1501.1080000000002</v>
      </c>
      <c r="I38" s="147">
        <f>IF(Avaliação!R40="","-",Avaliação!R40)</f>
        <v>1607.4205000000002</v>
      </c>
      <c r="J38" s="147">
        <f>IF(Avaliação!T40="","-",Avaliação!T40)</f>
        <v>1577.8454999999999</v>
      </c>
      <c r="K38" s="147">
        <f>IF(Avaliação!V40="","-",Avaliação!V40)</f>
        <v>1575.0954999999999</v>
      </c>
      <c r="L38" s="147">
        <f>IF(Avaliação!X40="","-",Avaliação!X40)</f>
        <v>1545.0954999999999</v>
      </c>
      <c r="M38" s="147">
        <f>IF(Avaliação!Z40="","-",Avaliação!Z40)</f>
        <v>1580.2204999999999</v>
      </c>
      <c r="N38" s="12" t="e">
        <f>IF(Avaliação!AB40="","-",Avaliação!AB40)</f>
        <v>#VALUE!</v>
      </c>
      <c r="O38" s="12" t="e">
        <f>IF(Avaliação!AD40="","-",Avaliação!AD40)</f>
        <v>#VALUE!</v>
      </c>
      <c r="P38" s="12" t="e">
        <f>IF(Avaliação!AF40="","-",Avaliação!AF40)</f>
        <v>#VALUE!</v>
      </c>
    </row>
    <row r="39" spans="1:16">
      <c r="A39" s="34" t="str">
        <f>Avaliação!A41</f>
        <v>Área Muscular do Braço - UMA (cm²)</v>
      </c>
      <c r="B39" s="147">
        <f>IF(Avaliação!D41="","-",Avaliação!D41)</f>
        <v>57.943381553674563</v>
      </c>
      <c r="C39" s="147">
        <f>IF(Avaliação!F41="","-",Avaliação!F41)</f>
        <v>74.905684870669717</v>
      </c>
      <c r="D39" s="147">
        <f>IF(Avaliação!H41="","-",Avaliação!H41)</f>
        <v>65.745220913674558</v>
      </c>
      <c r="E39" s="147">
        <f>IF(Avaliação!J41="","-",Avaliação!J41)</f>
        <v>70.697183086712499</v>
      </c>
      <c r="F39" s="147">
        <f>IF(Avaliação!L41="","-",Avaliação!L41)</f>
        <v>75.212804310669725</v>
      </c>
      <c r="G39" s="147">
        <f>IF(Avaliação!N41="","-",Avaliação!N41)</f>
        <v>71.594196286712503</v>
      </c>
      <c r="H39" s="147">
        <f>IF(Avaliação!P41="","-",Avaliação!P41)</f>
        <v>76.447565270669728</v>
      </c>
      <c r="I39" s="147">
        <f>IF(Avaliação!R41="","-",Avaliação!R41)</f>
        <v>80.127219028897372</v>
      </c>
      <c r="J39" s="147">
        <f>IF(Avaliação!T41="","-",Avaliação!T41)</f>
        <v>76.137932550669717</v>
      </c>
      <c r="K39" s="147">
        <f>IF(Avaliação!V41="","-",Avaliação!V41)</f>
        <v>76.137932550669717</v>
      </c>
      <c r="L39" s="12" t="str">
        <f>IF(Avaliação!X41="","-",Avaliação!X41)</f>
        <v>-</v>
      </c>
      <c r="M39" s="12" t="str">
        <f>IF(Avaliação!Z41="","-",Avaliação!Z41)</f>
        <v>-</v>
      </c>
      <c r="N39" s="12" t="str">
        <f>IF(Avaliação!AB41="","-",Avaliação!AB41)</f>
        <v>-</v>
      </c>
      <c r="O39" s="12" t="str">
        <f>IF(Avaliação!AD41="","-",Avaliação!AD41)</f>
        <v>-</v>
      </c>
      <c r="P39" s="12" t="str">
        <f>IF(Avaliação!AF41="","-",Avaliação!AF41)</f>
        <v>-</v>
      </c>
    </row>
    <row r="40" spans="1:16">
      <c r="A40" s="34" t="str">
        <f>Avaliação!A42</f>
        <v>IMC</v>
      </c>
      <c r="B40" s="147">
        <f>IF(Avaliação!D42="","-",Avaliação!D42)</f>
        <v>25.35177683470507</v>
      </c>
      <c r="C40" s="147">
        <f>IF(Avaliação!F42="","-",Avaliação!F42)</f>
        <v>22.985397512168742</v>
      </c>
      <c r="D40" s="147">
        <f>IF(Avaliação!H42="","-",Avaliação!H42)</f>
        <v>21.19388858842618</v>
      </c>
      <c r="E40" s="147">
        <f>IF(Avaliação!J42="","-",Avaliação!J42)</f>
        <v>21.937533802055171</v>
      </c>
      <c r="F40" s="147">
        <f>IF(Avaliação!L42="","-",Avaliação!L42)</f>
        <v>22.883991346673881</v>
      </c>
      <c r="G40" s="147">
        <f>IF(Avaliação!N42="","-",Avaliação!N42)</f>
        <v>22.850189291508926</v>
      </c>
      <c r="H40" s="147">
        <f>IF(Avaliação!P42="","-",Avaliação!P42)</f>
        <v>22.850189291508926</v>
      </c>
      <c r="I40" s="147">
        <f>IF(Avaliação!R42="","-",Avaliação!R42)</f>
        <v>23.8980530016225</v>
      </c>
      <c r="J40" s="147">
        <f>IF(Avaliação!T42="","-",Avaliação!T42)</f>
        <v>23.323418063818284</v>
      </c>
      <c r="K40" s="147">
        <f>IF(Avaliação!V42="","-",Avaliação!V42)</f>
        <v>23.188209843158464</v>
      </c>
      <c r="L40" s="147">
        <f>IF(Avaliação!X42="","-",Avaliação!X42)</f>
        <v>22.647376960519203</v>
      </c>
      <c r="M40" s="147">
        <f>IF(Avaliação!Z42="","-",Avaliação!Z42)</f>
        <v>23.661438615467823</v>
      </c>
      <c r="N40" s="12" t="str">
        <f>IF(Avaliação!AB42="","-",Avaliação!AB42)</f>
        <v>-</v>
      </c>
      <c r="O40" s="12" t="str">
        <f>IF(Avaliação!AD42="","-",Avaliação!AD42)</f>
        <v>-</v>
      </c>
      <c r="P40" s="12" t="str">
        <f>IF(Avaliação!AF42="","-",Avaliação!AF42)</f>
        <v>-</v>
      </c>
    </row>
    <row r="41" spans="1:16">
      <c r="B41" s="12"/>
      <c r="C41" s="12"/>
      <c r="D41" s="12"/>
      <c r="E41" s="12"/>
      <c r="F41" s="12"/>
      <c r="G41" s="12"/>
      <c r="H41" s="12"/>
      <c r="I41" s="12"/>
      <c r="J41" s="12"/>
      <c r="K41" s="12"/>
      <c r="L41" s="12"/>
      <c r="M41" s="12"/>
      <c r="N41" s="12"/>
      <c r="O41" s="12"/>
      <c r="P41" s="12"/>
    </row>
    <row r="42" spans="1:16">
      <c r="A42" s="34" t="str">
        <f>Avaliação!A44</f>
        <v>M. Anter. do Br.(mm) - p1</v>
      </c>
      <c r="B42" s="147">
        <f>IF(Avaliação!D44="","-",Avaliação!D44)</f>
        <v>30.7</v>
      </c>
      <c r="C42" s="147">
        <f>IF(Avaliação!F44="","-",Avaliação!F44)</f>
        <v>33.299999999999997</v>
      </c>
      <c r="D42" s="147">
        <f>IF(Avaliação!H44="","-",Avaliação!H44)</f>
        <v>26.1</v>
      </c>
      <c r="E42" s="147">
        <f>IF(Avaliação!J44="","-",Avaliação!J44)</f>
        <v>31.5</v>
      </c>
      <c r="F42" s="147">
        <f>IF(Avaliação!L44="","-",Avaliação!L44)</f>
        <v>36.6</v>
      </c>
      <c r="G42" s="12" t="str">
        <f>IF(Avaliação!N44="","-",Avaliação!N44)</f>
        <v>-</v>
      </c>
      <c r="H42" s="147">
        <f>IF(Avaliação!P44="","-",Avaliação!P44)</f>
        <v>31.6</v>
      </c>
      <c r="I42" s="147">
        <f>IF(Avaliação!R44="","-",Avaliação!R44)</f>
        <v>33</v>
      </c>
      <c r="J42" s="12" t="str">
        <f>IF(Avaliação!T44="","-",Avaliação!T44)</f>
        <v>-</v>
      </c>
      <c r="K42" s="147">
        <f>IF(Avaliação!V44="","-",Avaliação!V44)</f>
        <v>35.200000000000003</v>
      </c>
      <c r="L42" s="12" t="str">
        <f>IF(Avaliação!X44="","-",Avaliação!X44)</f>
        <v>-</v>
      </c>
      <c r="M42" s="12" t="str">
        <f>IF(Avaliação!Z44="","-",Avaliação!Z44)</f>
        <v>-</v>
      </c>
      <c r="N42" s="12" t="str">
        <f>IF(Avaliação!AB44="","-",Avaliação!AB44)</f>
        <v>-</v>
      </c>
      <c r="O42" s="12" t="str">
        <f>IF(Avaliação!AD44="","-",Avaliação!AD44)</f>
        <v>-</v>
      </c>
      <c r="P42" s="12" t="str">
        <f>IF(Avaliação!AF44="","-",Avaliação!AF44)</f>
        <v>-</v>
      </c>
    </row>
    <row r="43" spans="1:16">
      <c r="A43" s="34" t="str">
        <f>Avaliação!A45</f>
        <v>M. Anter. do Br.(mm) - p2</v>
      </c>
      <c r="B43" s="12" t="str">
        <f>IF(Avaliação!D45="","-",Avaliação!D45)</f>
        <v>-</v>
      </c>
      <c r="C43" s="12" t="str">
        <f>IF(Avaliação!F45="","-",Avaliação!F45)</f>
        <v>-</v>
      </c>
      <c r="D43" s="12" t="str">
        <f>IF(Avaliação!H45="","-",Avaliação!H45)</f>
        <v>-</v>
      </c>
      <c r="E43" s="12" t="str">
        <f>IF(Avaliação!J45="","-",Avaliação!J45)</f>
        <v>-</v>
      </c>
      <c r="F43" s="12" t="str">
        <f>IF(Avaliação!L45="","-",Avaliação!L45)</f>
        <v>-</v>
      </c>
      <c r="G43" s="12" t="str">
        <f>IF(Avaliação!N45="","-",Avaliação!N45)</f>
        <v>-</v>
      </c>
      <c r="H43" s="12" t="str">
        <f>IF(Avaliação!P45="","-",Avaliação!P45)</f>
        <v>-</v>
      </c>
      <c r="I43" s="12" t="str">
        <f>IF(Avaliação!R45="","-",Avaliação!R45)</f>
        <v>-</v>
      </c>
      <c r="J43" s="12" t="str">
        <f>IF(Avaliação!T45="","-",Avaliação!T45)</f>
        <v>-</v>
      </c>
      <c r="K43" s="12" t="str">
        <f>IF(Avaliação!V45="","-",Avaliação!V45)</f>
        <v>-</v>
      </c>
      <c r="L43" s="12" t="str">
        <f>IF(Avaliação!X45="","-",Avaliação!X45)</f>
        <v>-</v>
      </c>
      <c r="M43" s="12" t="str">
        <f>IF(Avaliação!Z45="","-",Avaliação!Z45)</f>
        <v>-</v>
      </c>
      <c r="N43" s="12" t="str">
        <f>IF(Avaliação!AB45="","-",Avaliação!AB45)</f>
        <v>-</v>
      </c>
      <c r="O43" s="12" t="str">
        <f>IF(Avaliação!AD45="","-",Avaliação!AD45)</f>
        <v>-</v>
      </c>
      <c r="P43" s="12" t="str">
        <f>IF(Avaliação!AF45="","-",Avaliação!AF45)</f>
        <v>-</v>
      </c>
    </row>
    <row r="44" spans="1:16">
      <c r="A44" s="34" t="str">
        <f>Avaliação!A46</f>
        <v>M. Anter. do Br.(mm) - p3</v>
      </c>
      <c r="B44" s="12" t="str">
        <f>IF(Avaliação!D46="","-",Avaliação!D46)</f>
        <v>-</v>
      </c>
      <c r="C44" s="12" t="str">
        <f>IF(Avaliação!F46="","-",Avaliação!F46)</f>
        <v>-</v>
      </c>
      <c r="D44" s="12" t="str">
        <f>IF(Avaliação!H46="","-",Avaliação!H46)</f>
        <v>-</v>
      </c>
      <c r="E44" s="12" t="str">
        <f>IF(Avaliação!J46="","-",Avaliação!J46)</f>
        <v>-</v>
      </c>
      <c r="F44" s="12" t="str">
        <f>IF(Avaliação!L46="","-",Avaliação!L46)</f>
        <v>-</v>
      </c>
      <c r="G44" s="12" t="str">
        <f>IF(Avaliação!N46="","-",Avaliação!N46)</f>
        <v>-</v>
      </c>
      <c r="H44" s="12" t="str">
        <f>IF(Avaliação!P46="","-",Avaliação!P46)</f>
        <v>-</v>
      </c>
      <c r="I44" s="12" t="str">
        <f>IF(Avaliação!R46="","-",Avaliação!R46)</f>
        <v>-</v>
      </c>
      <c r="J44" s="12" t="str">
        <f>IF(Avaliação!T46="","-",Avaliação!T46)</f>
        <v>-</v>
      </c>
      <c r="K44" s="12" t="str">
        <f>IF(Avaliação!V46="","-",Avaliação!V46)</f>
        <v>-</v>
      </c>
      <c r="L44" s="12" t="str">
        <f>IF(Avaliação!X46="","-",Avaliação!X46)</f>
        <v>-</v>
      </c>
      <c r="M44" s="12" t="str">
        <f>IF(Avaliação!Z46="","-",Avaliação!Z46)</f>
        <v>-</v>
      </c>
      <c r="N44" s="12" t="str">
        <f>IF(Avaliação!AB46="","-",Avaliação!AB46)</f>
        <v>-</v>
      </c>
      <c r="O44" s="12" t="str">
        <f>IF(Avaliação!AD46="","-",Avaliação!AD46)</f>
        <v>-</v>
      </c>
      <c r="P44" s="12" t="str">
        <f>IF(Avaliação!AF46="","-",Avaliação!AF46)</f>
        <v>-</v>
      </c>
    </row>
    <row r="45" spans="1:16">
      <c r="A45" s="34" t="str">
        <f>Avaliação!A47</f>
        <v>M. Anter. do Br.(mm) - p4</v>
      </c>
      <c r="B45" s="12" t="str">
        <f>IF(Avaliação!D47="","-",Avaliação!D47)</f>
        <v>-</v>
      </c>
      <c r="C45" s="12" t="str">
        <f>IF(Avaliação!F47="","-",Avaliação!F47)</f>
        <v>-</v>
      </c>
      <c r="D45" s="12" t="str">
        <f>IF(Avaliação!H47="","-",Avaliação!H47)</f>
        <v>-</v>
      </c>
      <c r="E45" s="12" t="str">
        <f>IF(Avaliação!J47="","-",Avaliação!J47)</f>
        <v>-</v>
      </c>
      <c r="F45" s="12" t="str">
        <f>IF(Avaliação!L47="","-",Avaliação!L47)</f>
        <v>-</v>
      </c>
      <c r="G45" s="12" t="str">
        <f>IF(Avaliação!N47="","-",Avaliação!N47)</f>
        <v>-</v>
      </c>
      <c r="H45" s="12" t="str">
        <f>IF(Avaliação!P47="","-",Avaliação!P47)</f>
        <v>-</v>
      </c>
      <c r="I45" s="12" t="str">
        <f>IF(Avaliação!R47="","-",Avaliação!R47)</f>
        <v>-</v>
      </c>
      <c r="J45" s="12" t="str">
        <f>IF(Avaliação!T47="","-",Avaliação!T47)</f>
        <v>-</v>
      </c>
      <c r="K45" s="12" t="str">
        <f>IF(Avaliação!V47="","-",Avaliação!V47)</f>
        <v>-</v>
      </c>
      <c r="L45" s="12" t="str">
        <f>IF(Avaliação!X47="","-",Avaliação!X47)</f>
        <v>-</v>
      </c>
      <c r="M45" s="12" t="str">
        <f>IF(Avaliação!Z47="","-",Avaliação!Z47)</f>
        <v>-</v>
      </c>
      <c r="N45" s="12" t="str">
        <f>IF(Avaliação!AB47="","-",Avaliação!AB47)</f>
        <v>-</v>
      </c>
      <c r="O45" s="12" t="str">
        <f>IF(Avaliação!AD47="","-",Avaliação!AD47)</f>
        <v>-</v>
      </c>
      <c r="P45" s="12" t="str">
        <f>IF(Avaliação!AF47="","-",Avaliação!AF47)</f>
        <v>-</v>
      </c>
    </row>
    <row r="46" spans="1:16">
      <c r="A46" s="34" t="str">
        <f>Avaliação!A48</f>
        <v>Músculos Anteriores do Braço(mm)</v>
      </c>
      <c r="B46" s="147">
        <f>IF(Avaliação!D48="","-",Avaliação!D48)</f>
        <v>30.7</v>
      </c>
      <c r="C46" s="147">
        <f>IF(Avaliação!F48="","-",Avaliação!F48)</f>
        <v>33.299999999999997</v>
      </c>
      <c r="D46" s="147">
        <f>IF(Avaliação!H48="","-",Avaliação!H48)</f>
        <v>26.1</v>
      </c>
      <c r="E46" s="147">
        <f>IF(Avaliação!J48="","-",Avaliação!J48)</f>
        <v>31.5</v>
      </c>
      <c r="F46" s="147">
        <f>IF(Avaliação!L48="","-",Avaliação!L48)</f>
        <v>36.6</v>
      </c>
      <c r="G46" s="12" t="str">
        <f>IF(Avaliação!N48="","-",Avaliação!N48)</f>
        <v>-</v>
      </c>
      <c r="H46" s="147">
        <f>IF(Avaliação!P48="","-",Avaliação!P48)</f>
        <v>31.6</v>
      </c>
      <c r="I46" s="147">
        <f>IF(Avaliação!R48="","-",Avaliação!R48)</f>
        <v>33</v>
      </c>
      <c r="J46" s="12" t="str">
        <f>IF(Avaliação!T48="","-",Avaliação!T48)</f>
        <v>-</v>
      </c>
      <c r="K46" s="147">
        <f>IF(Avaliação!V48="","-",Avaliação!V48)</f>
        <v>35.200000000000003</v>
      </c>
      <c r="L46" s="12" t="str">
        <f>IF(Avaliação!X48="","-",Avaliação!X48)</f>
        <v>-</v>
      </c>
      <c r="M46" s="12" t="str">
        <f>IF(Avaliação!Z48="","-",Avaliação!Z48)</f>
        <v>-</v>
      </c>
      <c r="N46" s="12" t="str">
        <f>IF(Avaliação!AB48="","-",Avaliação!AB48)</f>
        <v>-</v>
      </c>
      <c r="O46" s="12" t="str">
        <f>IF(Avaliação!AD48="","-",Avaliação!AD48)</f>
        <v>-</v>
      </c>
      <c r="P46" s="12" t="str">
        <f>IF(Avaliação!AF48="","-",Avaliação!AF48)</f>
        <v>-</v>
      </c>
    </row>
    <row r="47" spans="1:16">
      <c r="A47" s="34" t="str">
        <f>Avaliação!A49</f>
        <v>M. Post. do Br.(mm) - p1</v>
      </c>
      <c r="B47" s="147">
        <f>IF(Avaliação!D49="","-",Avaliação!D49)</f>
        <v>31.7</v>
      </c>
      <c r="C47" s="147">
        <f>IF(Avaliação!F49="","-",Avaliação!F49)</f>
        <v>37.200000000000003</v>
      </c>
      <c r="D47" s="147">
        <f>IF(Avaliação!H49="","-",Avaliação!H49)</f>
        <v>39</v>
      </c>
      <c r="E47" s="147">
        <f>IF(Avaliação!J49="","-",Avaliação!J49)</f>
        <v>39.1</v>
      </c>
      <c r="F47" s="147">
        <f>IF(Avaliação!L49="","-",Avaliação!L49)</f>
        <v>42.1</v>
      </c>
      <c r="G47" s="12" t="str">
        <f>IF(Avaliação!N49="","-",Avaliação!N49)</f>
        <v>-</v>
      </c>
      <c r="H47" s="147">
        <f>IF(Avaliação!P49="","-",Avaliação!P49)</f>
        <v>37.200000000000003</v>
      </c>
      <c r="I47" s="147">
        <f>IF(Avaliação!R49="","-",Avaliação!R49)</f>
        <v>41.1</v>
      </c>
      <c r="J47" s="12" t="str">
        <f>IF(Avaliação!T49="","-",Avaliação!T49)</f>
        <v>-</v>
      </c>
      <c r="K47" s="147">
        <f>IF(Avaliação!V49="","-",Avaliação!V49)</f>
        <v>46.5</v>
      </c>
      <c r="L47" s="12" t="str">
        <f>IF(Avaliação!X49="","-",Avaliação!X49)</f>
        <v>-</v>
      </c>
      <c r="M47" s="12" t="str">
        <f>IF(Avaliação!Z49="","-",Avaliação!Z49)</f>
        <v>-</v>
      </c>
      <c r="N47" s="12" t="str">
        <f>IF(Avaliação!AB49="","-",Avaliação!AB49)</f>
        <v>-</v>
      </c>
      <c r="O47" s="12" t="str">
        <f>IF(Avaliação!AD49="","-",Avaliação!AD49)</f>
        <v>-</v>
      </c>
      <c r="P47" s="12" t="str">
        <f>IF(Avaliação!AF49="","-",Avaliação!AF49)</f>
        <v>-</v>
      </c>
    </row>
    <row r="48" spans="1:16">
      <c r="A48" s="34" t="str">
        <f>Avaliação!A50</f>
        <v>M. Post. do Br.(mm) - p2</v>
      </c>
      <c r="B48" s="12" t="str">
        <f>IF(Avaliação!D50="","-",Avaliação!D50)</f>
        <v>-</v>
      </c>
      <c r="C48" s="12" t="str">
        <f>IF(Avaliação!F50="","-",Avaliação!F50)</f>
        <v>-</v>
      </c>
      <c r="D48" s="12" t="str">
        <f>IF(Avaliação!H50="","-",Avaliação!H50)</f>
        <v>-</v>
      </c>
      <c r="E48" s="12" t="str">
        <f>IF(Avaliação!J50="","-",Avaliação!J50)</f>
        <v>-</v>
      </c>
      <c r="F48" s="12" t="str">
        <f>IF(Avaliação!L50="","-",Avaliação!L50)</f>
        <v>-</v>
      </c>
      <c r="G48" s="12" t="str">
        <f>IF(Avaliação!N50="","-",Avaliação!N50)</f>
        <v>-</v>
      </c>
      <c r="H48" s="12" t="str">
        <f>IF(Avaliação!P50="","-",Avaliação!P50)</f>
        <v>-</v>
      </c>
      <c r="I48" s="12" t="str">
        <f>IF(Avaliação!R50="","-",Avaliação!R50)</f>
        <v>-</v>
      </c>
      <c r="J48" s="12" t="str">
        <f>IF(Avaliação!T50="","-",Avaliação!T50)</f>
        <v>-</v>
      </c>
      <c r="K48" s="12" t="str">
        <f>IF(Avaliação!V50="","-",Avaliação!V50)</f>
        <v>-</v>
      </c>
      <c r="L48" s="12" t="str">
        <f>IF(Avaliação!X50="","-",Avaliação!X50)</f>
        <v>-</v>
      </c>
      <c r="M48" s="12" t="str">
        <f>IF(Avaliação!Z50="","-",Avaliação!Z50)</f>
        <v>-</v>
      </c>
      <c r="N48" s="12" t="str">
        <f>IF(Avaliação!AB50="","-",Avaliação!AB50)</f>
        <v>-</v>
      </c>
      <c r="O48" s="12" t="str">
        <f>IF(Avaliação!AD50="","-",Avaliação!AD50)</f>
        <v>-</v>
      </c>
      <c r="P48" s="12" t="str">
        <f>IF(Avaliação!AF50="","-",Avaliação!AF50)</f>
        <v>-</v>
      </c>
    </row>
    <row r="49" spans="1:16">
      <c r="A49" s="34" t="str">
        <f>Avaliação!A51</f>
        <v>M. Post. do Br.(mm) - p3</v>
      </c>
      <c r="B49" s="12" t="str">
        <f>IF(Avaliação!D51="","-",Avaliação!D51)</f>
        <v>-</v>
      </c>
      <c r="C49" s="12" t="str">
        <f>IF(Avaliação!F51="","-",Avaliação!F51)</f>
        <v>-</v>
      </c>
      <c r="D49" s="12" t="str">
        <f>IF(Avaliação!H51="","-",Avaliação!H51)</f>
        <v>-</v>
      </c>
      <c r="E49" s="12" t="str">
        <f>IF(Avaliação!J51="","-",Avaliação!J51)</f>
        <v>-</v>
      </c>
      <c r="F49" s="12" t="str">
        <f>IF(Avaliação!L51="","-",Avaliação!L51)</f>
        <v>-</v>
      </c>
      <c r="G49" s="12" t="str">
        <f>IF(Avaliação!N51="","-",Avaliação!N51)</f>
        <v>-</v>
      </c>
      <c r="H49" s="12" t="str">
        <f>IF(Avaliação!P51="","-",Avaliação!P51)</f>
        <v>-</v>
      </c>
      <c r="I49" s="12" t="str">
        <f>IF(Avaliação!R51="","-",Avaliação!R51)</f>
        <v>-</v>
      </c>
      <c r="J49" s="12" t="str">
        <f>IF(Avaliação!T51="","-",Avaliação!T51)</f>
        <v>-</v>
      </c>
      <c r="K49" s="12" t="str">
        <f>IF(Avaliação!V51="","-",Avaliação!V51)</f>
        <v>-</v>
      </c>
      <c r="L49" s="12" t="str">
        <f>IF(Avaliação!X51="","-",Avaliação!X51)</f>
        <v>-</v>
      </c>
      <c r="M49" s="12" t="str">
        <f>IF(Avaliação!Z51="","-",Avaliação!Z51)</f>
        <v>-</v>
      </c>
      <c r="N49" s="12" t="str">
        <f>IF(Avaliação!AB51="","-",Avaliação!AB51)</f>
        <v>-</v>
      </c>
      <c r="O49" s="12" t="str">
        <f>IF(Avaliação!AD51="","-",Avaliação!AD51)</f>
        <v>-</v>
      </c>
      <c r="P49" s="12" t="str">
        <f>IF(Avaliação!AF51="","-",Avaliação!AF51)</f>
        <v>-</v>
      </c>
    </row>
    <row r="50" spans="1:16">
      <c r="A50" s="34" t="str">
        <f>Avaliação!A52</f>
        <v>Músculos Posteriores do Braço(mm)</v>
      </c>
      <c r="B50" s="147">
        <f>IF(Avaliação!D52="","-",Avaliação!D52)</f>
        <v>31.7</v>
      </c>
      <c r="C50" s="147">
        <f>IF(Avaliação!F52="","-",Avaliação!F52)</f>
        <v>37.200000000000003</v>
      </c>
      <c r="D50" s="147">
        <f>IF(Avaliação!H52="","-",Avaliação!H52)</f>
        <v>39</v>
      </c>
      <c r="E50" s="147">
        <f>IF(Avaliação!J52="","-",Avaliação!J52)</f>
        <v>39.1</v>
      </c>
      <c r="F50" s="147">
        <f>IF(Avaliação!L52="","-",Avaliação!L52)</f>
        <v>42.1</v>
      </c>
      <c r="G50" s="12" t="str">
        <f>IF(Avaliação!N52="","-",Avaliação!N52)</f>
        <v>-</v>
      </c>
      <c r="H50" s="147">
        <f>IF(Avaliação!P52="","-",Avaliação!P52)</f>
        <v>37.200000000000003</v>
      </c>
      <c r="I50" s="147">
        <f>IF(Avaliação!R52="","-",Avaliação!R52)</f>
        <v>41.1</v>
      </c>
      <c r="J50" s="12" t="str">
        <f>IF(Avaliação!T52="","-",Avaliação!T52)</f>
        <v>-</v>
      </c>
      <c r="K50" s="147">
        <f>IF(Avaliação!V52="","-",Avaliação!V52)</f>
        <v>46.5</v>
      </c>
      <c r="L50" s="12" t="str">
        <f>IF(Avaliação!X52="","-",Avaliação!X52)</f>
        <v>-</v>
      </c>
      <c r="M50" s="12" t="str">
        <f>IF(Avaliação!Z52="","-",Avaliação!Z52)</f>
        <v>-</v>
      </c>
      <c r="N50" s="12" t="str">
        <f>IF(Avaliação!AB52="","-",Avaliação!AB52)</f>
        <v>-</v>
      </c>
      <c r="O50" s="12" t="str">
        <f>IF(Avaliação!AD52="","-",Avaliação!AD52)</f>
        <v>-</v>
      </c>
      <c r="P50" s="12" t="str">
        <f>IF(Avaliação!AF52="","-",Avaliação!AF52)</f>
        <v>-</v>
      </c>
    </row>
    <row r="51" spans="1:16">
      <c r="A51" s="34" t="str">
        <f>Avaliação!A53</f>
        <v>Reto Femoral(mm) - p1</v>
      </c>
      <c r="B51" s="147">
        <f>IF(Avaliação!D53="","-",Avaliação!D53)</f>
        <v>25.5</v>
      </c>
      <c r="C51" s="147">
        <f>IF(Avaliação!F53="","-",Avaliação!F53)</f>
        <v>25.5</v>
      </c>
      <c r="D51" s="147">
        <f>IF(Avaliação!H53="","-",Avaliação!H53)</f>
        <v>21.4</v>
      </c>
      <c r="E51" s="147">
        <f>IF(Avaliação!J53="","-",Avaliação!J53)</f>
        <v>23.5</v>
      </c>
      <c r="F51" s="147">
        <f>IF(Avaliação!L53="","-",Avaliação!L53)</f>
        <v>27.3</v>
      </c>
      <c r="G51" s="12" t="str">
        <f>IF(Avaliação!N53="","-",Avaliação!N53)</f>
        <v>-</v>
      </c>
      <c r="H51" s="147">
        <f>IF(Avaliação!P53="","-",Avaliação!P53)</f>
        <v>21.6</v>
      </c>
      <c r="I51" s="147">
        <f>IF(Avaliação!R53="","-",Avaliação!R53)</f>
        <v>29.6</v>
      </c>
      <c r="J51" s="12" t="str">
        <f>IF(Avaliação!T53="","-",Avaliação!T53)</f>
        <v>-</v>
      </c>
      <c r="K51" s="147">
        <f>IF(Avaliação!V53="","-",Avaliação!V53)</f>
        <v>30.6</v>
      </c>
      <c r="L51" s="12" t="str">
        <f>IF(Avaliação!X53="","-",Avaliação!X53)</f>
        <v>-</v>
      </c>
      <c r="M51" s="12" t="str">
        <f>IF(Avaliação!Z53="","-",Avaliação!Z53)</f>
        <v>-</v>
      </c>
      <c r="N51" s="12" t="str">
        <f>IF(Avaliação!AB53="","-",Avaliação!AB53)</f>
        <v>-</v>
      </c>
      <c r="O51" s="12" t="str">
        <f>IF(Avaliação!AD53="","-",Avaliação!AD53)</f>
        <v>-</v>
      </c>
      <c r="P51" s="12" t="str">
        <f>IF(Avaliação!AF53="","-",Avaliação!AF53)</f>
        <v>-</v>
      </c>
    </row>
    <row r="52" spans="1:16">
      <c r="A52" s="34" t="str">
        <f>Avaliação!A54</f>
        <v>Reto Femoral(mm) - p2</v>
      </c>
      <c r="B52" s="12" t="str">
        <f>IF(Avaliação!D54="","-",Avaliação!D54)</f>
        <v>-</v>
      </c>
      <c r="C52" s="12" t="str">
        <f>IF(Avaliação!F54="","-",Avaliação!F54)</f>
        <v>-</v>
      </c>
      <c r="D52" s="12" t="str">
        <f>IF(Avaliação!H54="","-",Avaliação!H54)</f>
        <v>-</v>
      </c>
      <c r="E52" s="12" t="str">
        <f>IF(Avaliação!J54="","-",Avaliação!J54)</f>
        <v>-</v>
      </c>
      <c r="F52" s="12" t="str">
        <f>IF(Avaliação!L54="","-",Avaliação!L54)</f>
        <v>-</v>
      </c>
      <c r="G52" s="12" t="str">
        <f>IF(Avaliação!N54="","-",Avaliação!N54)</f>
        <v>-</v>
      </c>
      <c r="H52" s="12" t="str">
        <f>IF(Avaliação!P54="","-",Avaliação!P54)</f>
        <v>-</v>
      </c>
      <c r="I52" s="12" t="str">
        <f>IF(Avaliação!R54="","-",Avaliação!R54)</f>
        <v>-</v>
      </c>
      <c r="J52" s="12" t="str">
        <f>IF(Avaliação!T54="","-",Avaliação!T54)</f>
        <v>-</v>
      </c>
      <c r="K52" s="12" t="str">
        <f>IF(Avaliação!V54="","-",Avaliação!V54)</f>
        <v>-</v>
      </c>
      <c r="L52" s="12" t="str">
        <f>IF(Avaliação!X54="","-",Avaliação!X54)</f>
        <v>-</v>
      </c>
      <c r="M52" s="12" t="str">
        <f>IF(Avaliação!Z54="","-",Avaliação!Z54)</f>
        <v>-</v>
      </c>
      <c r="N52" s="12" t="str">
        <f>IF(Avaliação!AB54="","-",Avaliação!AB54)</f>
        <v>-</v>
      </c>
      <c r="O52" s="12" t="str">
        <f>IF(Avaliação!AD54="","-",Avaliação!AD54)</f>
        <v>-</v>
      </c>
      <c r="P52" s="12" t="str">
        <f>IF(Avaliação!AF54="","-",Avaliação!AF54)</f>
        <v>-</v>
      </c>
    </row>
    <row r="53" spans="1:16">
      <c r="A53" s="34" t="str">
        <f>Avaliação!A55</f>
        <v>Reto Femoral(mm) - p3</v>
      </c>
      <c r="B53" s="12" t="str">
        <f>IF(Avaliação!D55="","-",Avaliação!D55)</f>
        <v>-</v>
      </c>
      <c r="C53" s="12" t="str">
        <f>IF(Avaliação!F55="","-",Avaliação!F55)</f>
        <v>-</v>
      </c>
      <c r="D53" s="12" t="str">
        <f>IF(Avaliação!H55="","-",Avaliação!H55)</f>
        <v>-</v>
      </c>
      <c r="E53" s="12" t="str">
        <f>IF(Avaliação!J55="","-",Avaliação!J55)</f>
        <v>-</v>
      </c>
      <c r="F53" s="12" t="str">
        <f>IF(Avaliação!L55="","-",Avaliação!L55)</f>
        <v>-</v>
      </c>
      <c r="G53" s="12" t="str">
        <f>IF(Avaliação!N55="","-",Avaliação!N55)</f>
        <v>-</v>
      </c>
      <c r="H53" s="12" t="str">
        <f>IF(Avaliação!P55="","-",Avaliação!P55)</f>
        <v>-</v>
      </c>
      <c r="I53" s="12" t="str">
        <f>IF(Avaliação!R55="","-",Avaliação!R55)</f>
        <v>-</v>
      </c>
      <c r="J53" s="12" t="str">
        <f>IF(Avaliação!T55="","-",Avaliação!T55)</f>
        <v>-</v>
      </c>
      <c r="K53" s="12" t="str">
        <f>IF(Avaliação!V55="","-",Avaliação!V55)</f>
        <v>-</v>
      </c>
      <c r="L53" s="12" t="str">
        <f>IF(Avaliação!X55="","-",Avaliação!X55)</f>
        <v>-</v>
      </c>
      <c r="M53" s="12" t="str">
        <f>IF(Avaliação!Z55="","-",Avaliação!Z55)</f>
        <v>-</v>
      </c>
      <c r="N53" s="12" t="str">
        <f>IF(Avaliação!AB55="","-",Avaliação!AB55)</f>
        <v>-</v>
      </c>
      <c r="O53" s="12" t="str">
        <f>IF(Avaliação!AD55="","-",Avaliação!AD55)</f>
        <v>-</v>
      </c>
      <c r="P53" s="12" t="str">
        <f>IF(Avaliação!AF55="","-",Avaliação!AF55)</f>
        <v>-</v>
      </c>
    </row>
    <row r="54" spans="1:16">
      <c r="A54" s="34" t="str">
        <f>Avaliação!A56</f>
        <v>Músculo Reto Femoral (mm)</v>
      </c>
      <c r="B54" s="147">
        <f>IF(Avaliação!D56="","-",Avaliação!D56)</f>
        <v>25.5</v>
      </c>
      <c r="C54" s="147">
        <f>IF(Avaliação!F56="","-",Avaliação!F56)</f>
        <v>25.5</v>
      </c>
      <c r="D54" s="147">
        <f>IF(Avaliação!H56="","-",Avaliação!H56)</f>
        <v>21.4</v>
      </c>
      <c r="E54" s="147">
        <f>IF(Avaliação!J56="","-",Avaliação!J56)</f>
        <v>23.5</v>
      </c>
      <c r="F54" s="147">
        <f>IF(Avaliação!L56="","-",Avaliação!L56)</f>
        <v>27.3</v>
      </c>
      <c r="G54" s="12" t="str">
        <f>IF(Avaliação!N56="","-",Avaliação!N56)</f>
        <v>-</v>
      </c>
      <c r="H54" s="147">
        <f>IF(Avaliação!P56="","-",Avaliação!P56)</f>
        <v>21.6</v>
      </c>
      <c r="I54" s="147">
        <f>IF(Avaliação!R56="","-",Avaliação!R56)</f>
        <v>29.6</v>
      </c>
      <c r="J54" s="12" t="str">
        <f>IF(Avaliação!T56="","-",Avaliação!T56)</f>
        <v>-</v>
      </c>
      <c r="K54" s="147">
        <f>IF(Avaliação!V56="","-",Avaliação!V56)</f>
        <v>30.6</v>
      </c>
      <c r="L54" s="12" t="str">
        <f>IF(Avaliação!X56="","-",Avaliação!X56)</f>
        <v>-</v>
      </c>
      <c r="M54" s="12" t="str">
        <f>IF(Avaliação!Z56="","-",Avaliação!Z56)</f>
        <v>-</v>
      </c>
      <c r="N54" s="12" t="str">
        <f>IF(Avaliação!AB56="","-",Avaliação!AB56)</f>
        <v>-</v>
      </c>
      <c r="O54" s="12" t="str">
        <f>IF(Avaliação!AD56="","-",Avaliação!AD56)</f>
        <v>-</v>
      </c>
      <c r="P54" s="12" t="str">
        <f>IF(Avaliação!AF56="","-",Avaliação!AF56)</f>
        <v>-</v>
      </c>
    </row>
    <row r="55" spans="1:16">
      <c r="A55" s="34" t="str">
        <f>Avaliação!A57</f>
        <v>Vasto Intermédio(mm) - p1</v>
      </c>
      <c r="B55" s="147">
        <f>IF(Avaliação!D57="","-",Avaliação!D57)</f>
        <v>23.8</v>
      </c>
      <c r="C55" s="147">
        <f>IF(Avaliação!F57="","-",Avaliação!F57)</f>
        <v>23.7</v>
      </c>
      <c r="D55" s="147">
        <f>IF(Avaliação!H57="","-",Avaliação!H57)</f>
        <v>18.899999999999999</v>
      </c>
      <c r="E55" s="147">
        <f>IF(Avaliação!J57="","-",Avaliação!J57)</f>
        <v>18.899999999999999</v>
      </c>
      <c r="F55" s="147">
        <f>IF(Avaliação!L57="","-",Avaliação!L57)</f>
        <v>18.5</v>
      </c>
      <c r="G55" s="12" t="str">
        <f>IF(Avaliação!N57="","-",Avaliação!N57)</f>
        <v>-</v>
      </c>
      <c r="H55" s="147">
        <f>IF(Avaliação!P57="","-",Avaliação!P57)</f>
        <v>19.899999999999999</v>
      </c>
      <c r="I55" s="147">
        <f>IF(Avaliação!R57="","-",Avaliação!R57)</f>
        <v>20.3</v>
      </c>
      <c r="J55" s="12" t="str">
        <f>IF(Avaliação!T57="","-",Avaliação!T57)</f>
        <v>-</v>
      </c>
      <c r="K55" s="147">
        <f>IF(Avaliação!V57="","-",Avaliação!V57)</f>
        <v>24.7</v>
      </c>
      <c r="L55" s="12" t="str">
        <f>IF(Avaliação!X57="","-",Avaliação!X57)</f>
        <v>-</v>
      </c>
      <c r="M55" s="12" t="str">
        <f>IF(Avaliação!Z57="","-",Avaliação!Z57)</f>
        <v>-</v>
      </c>
      <c r="N55" s="12" t="str">
        <f>IF(Avaliação!AB57="","-",Avaliação!AB57)</f>
        <v>-</v>
      </c>
      <c r="O55" s="12" t="str">
        <f>IF(Avaliação!AD57="","-",Avaliação!AD57)</f>
        <v>-</v>
      </c>
      <c r="P55" s="12" t="str">
        <f>IF(Avaliação!AF57="","-",Avaliação!AF57)</f>
        <v>-</v>
      </c>
    </row>
    <row r="56" spans="1:16">
      <c r="A56" s="34" t="str">
        <f>Avaliação!A58</f>
        <v>Vasto Intermédio(mm) - p2</v>
      </c>
      <c r="B56" s="12" t="str">
        <f>IF(Avaliação!D58="","-",Avaliação!D58)</f>
        <v>-</v>
      </c>
      <c r="C56" s="12" t="str">
        <f>IF(Avaliação!F58="","-",Avaliação!F58)</f>
        <v>-</v>
      </c>
      <c r="D56" s="12" t="str">
        <f>IF(Avaliação!H58="","-",Avaliação!H58)</f>
        <v>-</v>
      </c>
      <c r="E56" s="12" t="str">
        <f>IF(Avaliação!J58="","-",Avaliação!J58)</f>
        <v>-</v>
      </c>
      <c r="F56" s="12" t="str">
        <f>IF(Avaliação!L58="","-",Avaliação!L58)</f>
        <v>-</v>
      </c>
      <c r="G56" s="12" t="str">
        <f>IF(Avaliação!N58="","-",Avaliação!N58)</f>
        <v>-</v>
      </c>
      <c r="H56" s="12" t="str">
        <f>IF(Avaliação!P58="","-",Avaliação!P58)</f>
        <v>-</v>
      </c>
      <c r="I56" s="12" t="str">
        <f>IF(Avaliação!R58="","-",Avaliação!R58)</f>
        <v>-</v>
      </c>
      <c r="J56" s="12" t="str">
        <f>IF(Avaliação!T58="","-",Avaliação!T58)</f>
        <v>-</v>
      </c>
      <c r="K56" s="12" t="str">
        <f>IF(Avaliação!V58="","-",Avaliação!V58)</f>
        <v>-</v>
      </c>
      <c r="L56" s="12" t="str">
        <f>IF(Avaliação!X58="","-",Avaliação!X58)</f>
        <v>-</v>
      </c>
      <c r="M56" s="12" t="str">
        <f>IF(Avaliação!Z58="","-",Avaliação!Z58)</f>
        <v>-</v>
      </c>
      <c r="N56" s="12" t="str">
        <f>IF(Avaliação!AB58="","-",Avaliação!AB58)</f>
        <v>-</v>
      </c>
      <c r="O56" s="12" t="str">
        <f>IF(Avaliação!AD58="","-",Avaliação!AD58)</f>
        <v>-</v>
      </c>
      <c r="P56" s="12" t="str">
        <f>IF(Avaliação!AF58="","-",Avaliação!AF58)</f>
        <v>-</v>
      </c>
    </row>
    <row r="57" spans="1:16">
      <c r="A57" s="34" t="str">
        <f>Avaliação!A59</f>
        <v>Vasto Intermédio(mm) - p3</v>
      </c>
      <c r="B57" s="12" t="str">
        <f>IF(Avaliação!D59="","-",Avaliação!D59)</f>
        <v>-</v>
      </c>
      <c r="C57" s="12" t="str">
        <f>IF(Avaliação!F59="","-",Avaliação!F59)</f>
        <v>-</v>
      </c>
      <c r="D57" s="12" t="str">
        <f>IF(Avaliação!H59="","-",Avaliação!H59)</f>
        <v>-</v>
      </c>
      <c r="E57" s="12" t="str">
        <f>IF(Avaliação!J59="","-",Avaliação!J59)</f>
        <v>-</v>
      </c>
      <c r="F57" s="12" t="str">
        <f>IF(Avaliação!L59="","-",Avaliação!L59)</f>
        <v>-</v>
      </c>
      <c r="G57" s="12" t="str">
        <f>IF(Avaliação!N59="","-",Avaliação!N59)</f>
        <v>-</v>
      </c>
      <c r="H57" s="12" t="str">
        <f>IF(Avaliação!P59="","-",Avaliação!P59)</f>
        <v>-</v>
      </c>
      <c r="I57" s="12" t="str">
        <f>IF(Avaliação!R59="","-",Avaliação!R59)</f>
        <v>-</v>
      </c>
      <c r="J57" s="12" t="str">
        <f>IF(Avaliação!T59="","-",Avaliação!T59)</f>
        <v>-</v>
      </c>
      <c r="K57" s="12" t="str">
        <f>IF(Avaliação!V59="","-",Avaliação!V59)</f>
        <v>-</v>
      </c>
      <c r="L57" s="12" t="str">
        <f>IF(Avaliação!X59="","-",Avaliação!X59)</f>
        <v>-</v>
      </c>
      <c r="M57" s="12" t="str">
        <f>IF(Avaliação!Z59="","-",Avaliação!Z59)</f>
        <v>-</v>
      </c>
      <c r="N57" s="12" t="str">
        <f>IF(Avaliação!AB59="","-",Avaliação!AB59)</f>
        <v>-</v>
      </c>
      <c r="O57" s="12" t="str">
        <f>IF(Avaliação!AD59="","-",Avaliação!AD59)</f>
        <v>-</v>
      </c>
      <c r="P57" s="12" t="str">
        <f>IF(Avaliação!AF59="","-",Avaliação!AF59)</f>
        <v>-</v>
      </c>
    </row>
    <row r="58" spans="1:16">
      <c r="A58" s="34" t="str">
        <f>Avaliação!A60</f>
        <v>Músculo Vasto Intermédio (mm)</v>
      </c>
      <c r="B58" s="147">
        <f>IF(Avaliação!D60="","-",Avaliação!D60)</f>
        <v>23.8</v>
      </c>
      <c r="C58" s="147">
        <f>IF(Avaliação!F60="","-",Avaliação!F60)</f>
        <v>23.7</v>
      </c>
      <c r="D58" s="147">
        <f>IF(Avaliação!H60="","-",Avaliação!H60)</f>
        <v>18.899999999999999</v>
      </c>
      <c r="E58" s="147">
        <f>IF(Avaliação!J60="","-",Avaliação!J60)</f>
        <v>18.899999999999999</v>
      </c>
      <c r="F58" s="147">
        <f>IF(Avaliação!L60="","-",Avaliação!L60)</f>
        <v>18.5</v>
      </c>
      <c r="G58" s="12" t="str">
        <f>IF(Avaliação!N60="","-",Avaliação!N60)</f>
        <v>-</v>
      </c>
      <c r="H58" s="147">
        <f>IF(Avaliação!P60="","-",Avaliação!P60)</f>
        <v>19.899999999999999</v>
      </c>
      <c r="I58" s="147">
        <f>IF(Avaliação!R60="","-",Avaliação!R60)</f>
        <v>20.3</v>
      </c>
      <c r="J58" s="12" t="str">
        <f>IF(Avaliação!T60="","-",Avaliação!T60)</f>
        <v>-</v>
      </c>
      <c r="K58" s="147">
        <f>IF(Avaliação!V60="","-",Avaliação!V60)</f>
        <v>24.7</v>
      </c>
      <c r="L58" s="12" t="str">
        <f>IF(Avaliação!X60="","-",Avaliação!X60)</f>
        <v>-</v>
      </c>
      <c r="M58" s="12" t="str">
        <f>IF(Avaliação!Z60="","-",Avaliação!Z60)</f>
        <v>-</v>
      </c>
      <c r="N58" s="12" t="str">
        <f>IF(Avaliação!AB60="","-",Avaliação!AB60)</f>
        <v>-</v>
      </c>
      <c r="O58" s="12" t="str">
        <f>IF(Avaliação!AD60="","-",Avaliação!AD60)</f>
        <v>-</v>
      </c>
      <c r="P58" s="12" t="str">
        <f>IF(Avaliação!AF60="","-",Avaliação!AF60)</f>
        <v>-</v>
      </c>
    </row>
    <row r="59" spans="1:16">
      <c r="A59" s="34" t="str">
        <f>Avaliação!A61</f>
        <v>Músculos Anteriores da Coxa(mm)</v>
      </c>
      <c r="B59" s="147">
        <f>IF(Avaliação!D61="","-",Avaliação!D61)</f>
        <v>49.3</v>
      </c>
      <c r="C59" s="147">
        <f>IF(Avaliação!F61="","-",Avaliação!F61)</f>
        <v>49.2</v>
      </c>
      <c r="D59" s="147">
        <f>IF(Avaliação!H61="","-",Avaliação!H61)</f>
        <v>40.299999999999997</v>
      </c>
      <c r="E59" s="147">
        <f>IF(Avaliação!J61="","-",Avaliação!J61)</f>
        <v>42.4</v>
      </c>
      <c r="F59" s="147">
        <f>IF(Avaliação!L61="","-",Avaliação!L61)</f>
        <v>45.8</v>
      </c>
      <c r="G59" s="12" t="e">
        <f>IF(Avaliação!N61="","-",Avaliação!N61)</f>
        <v>#VALUE!</v>
      </c>
      <c r="H59" s="147">
        <f>IF(Avaliação!P61="","-",Avaliação!P61)</f>
        <v>41.5</v>
      </c>
      <c r="I59" s="147">
        <f>IF(Avaliação!R61="","-",Avaliação!R61)</f>
        <v>49.900000000000006</v>
      </c>
      <c r="J59" s="12" t="e">
        <f>IF(Avaliação!T61="","-",Avaliação!T61)</f>
        <v>#VALUE!</v>
      </c>
      <c r="K59" s="147">
        <f>IF(Avaliação!V61="","-",Avaliação!V61)</f>
        <v>55.3</v>
      </c>
      <c r="L59" s="12" t="e">
        <f>IF(Avaliação!X61="","-",Avaliação!X61)</f>
        <v>#VALUE!</v>
      </c>
      <c r="M59" s="12" t="e">
        <f>IF(Avaliação!Z61="","-",Avaliação!Z61)</f>
        <v>#VALUE!</v>
      </c>
      <c r="N59" s="12" t="e">
        <f>IF(Avaliação!AB61="","-",Avaliação!AB61)</f>
        <v>#VALUE!</v>
      </c>
      <c r="O59" s="12" t="e">
        <f>IF(Avaliação!AD61="","-",Avaliação!AD61)</f>
        <v>#VALUE!</v>
      </c>
      <c r="P59" s="12" t="e">
        <f>IF(Avaliação!AF61="","-",Avaliação!AF61)</f>
        <v>#VALUE!</v>
      </c>
    </row>
    <row r="60" spans="1:16">
      <c r="B60" s="12"/>
      <c r="C60" s="12"/>
      <c r="D60" s="12"/>
      <c r="E60" s="12"/>
      <c r="F60" s="12"/>
      <c r="G60" s="12"/>
      <c r="H60" s="12"/>
      <c r="I60" s="12"/>
      <c r="J60" s="12"/>
      <c r="K60" s="12"/>
      <c r="L60" s="12"/>
      <c r="M60" s="12"/>
      <c r="N60" s="12"/>
      <c r="O60" s="12"/>
      <c r="P60" s="12"/>
    </row>
    <row r="61" spans="1:16">
      <c r="A61" s="34" t="str">
        <f>Avaliação!A63</f>
        <v>G. Abd. S. Sup. (mm) - p1</v>
      </c>
      <c r="B61" s="147">
        <f>IF(Avaliação!D63="","-",Avaliação!D63)</f>
        <v>18.899999999999999</v>
      </c>
      <c r="C61" s="147">
        <f>IF(Avaliação!F63="","-",Avaliação!F63)</f>
        <v>7.5</v>
      </c>
      <c r="D61" s="147">
        <f>IF(Avaliação!H63="","-",Avaliação!H63)</f>
        <v>4.3</v>
      </c>
      <c r="E61" s="147">
        <f>IF(Avaliação!J63="","-",Avaliação!J63)</f>
        <v>6.2</v>
      </c>
      <c r="F61" s="147">
        <f>IF(Avaliação!L63="","-",Avaliação!L63)</f>
        <v>6.4</v>
      </c>
      <c r="G61" s="12" t="str">
        <f>IF(Avaliação!N63="","-",Avaliação!N63)</f>
        <v>-</v>
      </c>
      <c r="H61" s="147">
        <f>IF(Avaliação!P63="","-",Avaliação!P63)</f>
        <v>5.7</v>
      </c>
      <c r="I61" s="147">
        <f>IF(Avaliação!R63="","-",Avaliação!R63)</f>
        <v>5</v>
      </c>
      <c r="J61" s="12" t="str">
        <f>IF(Avaliação!T63="","-",Avaliação!T63)</f>
        <v>-</v>
      </c>
      <c r="K61" s="147">
        <f>IF(Avaliação!V63="","-",Avaliação!V63)</f>
        <v>4</v>
      </c>
      <c r="L61" s="12" t="str">
        <f>IF(Avaliação!X63="","-",Avaliação!X63)</f>
        <v>-</v>
      </c>
      <c r="M61" s="12" t="str">
        <f>IF(Avaliação!Z63="","-",Avaliação!Z63)</f>
        <v>-</v>
      </c>
      <c r="N61" s="12" t="str">
        <f>IF(Avaliação!AB63="","-",Avaliação!AB63)</f>
        <v>-</v>
      </c>
      <c r="O61" s="12" t="str">
        <f>IF(Avaliação!AD63="","-",Avaliação!AD63)</f>
        <v>-</v>
      </c>
      <c r="P61" s="12" t="str">
        <f>IF(Avaliação!AF63="","-",Avaliação!AF63)</f>
        <v>-</v>
      </c>
    </row>
    <row r="62" spans="1:16">
      <c r="A62" s="34" t="str">
        <f>Avaliação!A64</f>
        <v>G. Abd. S. Sup. (mm) - p2</v>
      </c>
      <c r="B62" s="12" t="str">
        <f>IF(Avaliação!D64="","-",Avaliação!D64)</f>
        <v>-</v>
      </c>
      <c r="C62" s="12" t="str">
        <f>IF(Avaliação!F64="","-",Avaliação!F64)</f>
        <v>-</v>
      </c>
      <c r="D62" s="12" t="str">
        <f>IF(Avaliação!H64="","-",Avaliação!H64)</f>
        <v>-</v>
      </c>
      <c r="E62" s="12" t="str">
        <f>IF(Avaliação!J64="","-",Avaliação!J64)</f>
        <v>-</v>
      </c>
      <c r="F62" s="12" t="str">
        <f>IF(Avaliação!L64="","-",Avaliação!L64)</f>
        <v>-</v>
      </c>
      <c r="G62" s="12" t="str">
        <f>IF(Avaliação!N64="","-",Avaliação!N64)</f>
        <v>-</v>
      </c>
      <c r="H62" s="12" t="str">
        <f>IF(Avaliação!P64="","-",Avaliação!P64)</f>
        <v>-</v>
      </c>
      <c r="I62" s="12" t="str">
        <f>IF(Avaliação!R64="","-",Avaliação!R64)</f>
        <v>-</v>
      </c>
      <c r="J62" s="12" t="str">
        <f>IF(Avaliação!T64="","-",Avaliação!T64)</f>
        <v>-</v>
      </c>
      <c r="K62" s="12" t="str">
        <f>IF(Avaliação!V64="","-",Avaliação!V64)</f>
        <v>-</v>
      </c>
      <c r="L62" s="12" t="str">
        <f>IF(Avaliação!X64="","-",Avaliação!X64)</f>
        <v>-</v>
      </c>
      <c r="M62" s="12" t="str">
        <f>IF(Avaliação!Z64="","-",Avaliação!Z64)</f>
        <v>-</v>
      </c>
      <c r="N62" s="12" t="str">
        <f>IF(Avaliação!AB64="","-",Avaliação!AB64)</f>
        <v>-</v>
      </c>
      <c r="O62" s="12" t="str">
        <f>IF(Avaliação!AD64="","-",Avaliação!AD64)</f>
        <v>-</v>
      </c>
      <c r="P62" s="12" t="str">
        <f>IF(Avaliação!AF64="","-",Avaliação!AF64)</f>
        <v>-</v>
      </c>
    </row>
    <row r="63" spans="1:16">
      <c r="A63" s="34" t="str">
        <f>Avaliação!A65</f>
        <v>G. Abd. S. Sup. (mm) - p3</v>
      </c>
      <c r="B63" s="12" t="str">
        <f>IF(Avaliação!D65="","-",Avaliação!D65)</f>
        <v>-</v>
      </c>
      <c r="C63" s="12" t="str">
        <f>IF(Avaliação!F65="","-",Avaliação!F65)</f>
        <v>-</v>
      </c>
      <c r="D63" s="12" t="str">
        <f>IF(Avaliação!H65="","-",Avaliação!H65)</f>
        <v>-</v>
      </c>
      <c r="E63" s="12" t="str">
        <f>IF(Avaliação!J65="","-",Avaliação!J65)</f>
        <v>-</v>
      </c>
      <c r="F63" s="12" t="str">
        <f>IF(Avaliação!L65="","-",Avaliação!L65)</f>
        <v>-</v>
      </c>
      <c r="G63" s="12" t="str">
        <f>IF(Avaliação!N65="","-",Avaliação!N65)</f>
        <v>-</v>
      </c>
      <c r="H63" s="12" t="str">
        <f>IF(Avaliação!P65="","-",Avaliação!P65)</f>
        <v>-</v>
      </c>
      <c r="I63" s="12" t="str">
        <f>IF(Avaliação!R65="","-",Avaliação!R65)</f>
        <v>-</v>
      </c>
      <c r="J63" s="12" t="str">
        <f>IF(Avaliação!T65="","-",Avaliação!T65)</f>
        <v>-</v>
      </c>
      <c r="K63" s="12" t="str">
        <f>IF(Avaliação!V65="","-",Avaliação!V65)</f>
        <v>-</v>
      </c>
      <c r="L63" s="12" t="str">
        <f>IF(Avaliação!X65="","-",Avaliação!X65)</f>
        <v>-</v>
      </c>
      <c r="M63" s="12" t="str">
        <f>IF(Avaliação!Z65="","-",Avaliação!Z65)</f>
        <v>-</v>
      </c>
      <c r="N63" s="12" t="str">
        <f>IF(Avaliação!AB65="","-",Avaliação!AB65)</f>
        <v>-</v>
      </c>
      <c r="O63" s="12" t="str">
        <f>IF(Avaliação!AD65="","-",Avaliação!AD65)</f>
        <v>-</v>
      </c>
      <c r="P63" s="12" t="str">
        <f>IF(Avaliação!AF65="","-",Avaliação!AF65)</f>
        <v>-</v>
      </c>
    </row>
    <row r="64" spans="1:16">
      <c r="A64" s="34" t="str">
        <f>Avaliação!A66</f>
        <v>Gordura Abdominal Subcutânea Superficial(mm)</v>
      </c>
      <c r="B64" s="147">
        <f>IF(Avaliação!D66="","-",Avaliação!D66)</f>
        <v>18.899999999999999</v>
      </c>
      <c r="C64" s="147">
        <f>IF(Avaliação!F66="","-",Avaliação!F66)</f>
        <v>7.5</v>
      </c>
      <c r="D64" s="147">
        <f>IF(Avaliação!H66="","-",Avaliação!H66)</f>
        <v>4.3</v>
      </c>
      <c r="E64" s="147">
        <f>IF(Avaliação!J66="","-",Avaliação!J66)</f>
        <v>6.2</v>
      </c>
      <c r="F64" s="147">
        <f>IF(Avaliação!L66="","-",Avaliação!L66)</f>
        <v>6.4</v>
      </c>
      <c r="G64" s="12" t="str">
        <f>IF(Avaliação!N66="","-",Avaliação!N66)</f>
        <v>-</v>
      </c>
      <c r="H64" s="147">
        <f>IF(Avaliação!P66="","-",Avaliação!P66)</f>
        <v>5.7</v>
      </c>
      <c r="I64" s="147">
        <f>IF(Avaliação!R66="","-",Avaliação!R66)</f>
        <v>5</v>
      </c>
      <c r="J64" s="12" t="str">
        <f>IF(Avaliação!T66="","-",Avaliação!T66)</f>
        <v>-</v>
      </c>
      <c r="K64" s="147">
        <f>IF(Avaliação!V66="","-",Avaliação!V66)</f>
        <v>4</v>
      </c>
      <c r="L64" s="12" t="str">
        <f>IF(Avaliação!X66="","-",Avaliação!X66)</f>
        <v>-</v>
      </c>
      <c r="M64" s="12" t="str">
        <f>IF(Avaliação!Z66="","-",Avaliação!Z66)</f>
        <v>-</v>
      </c>
      <c r="N64" s="12" t="str">
        <f>IF(Avaliação!AB66="","-",Avaliação!AB66)</f>
        <v>-</v>
      </c>
      <c r="O64" s="12" t="str">
        <f>IF(Avaliação!AD66="","-",Avaliação!AD66)</f>
        <v>-</v>
      </c>
      <c r="P64" s="12" t="str">
        <f>IF(Avaliação!AF66="","-",Avaliação!AF66)</f>
        <v>-</v>
      </c>
    </row>
    <row r="65" spans="1:16">
      <c r="A65" s="34" t="str">
        <f>Avaliação!A67</f>
        <v>G. Abd. S. Prof.(mm) - p1</v>
      </c>
      <c r="B65" s="147">
        <f>IF(Avaliação!D67="","-",Avaliação!D67)</f>
        <v>20.6</v>
      </c>
      <c r="C65" s="147">
        <f>IF(Avaliação!F67="","-",Avaliação!F67)</f>
        <v>10.8</v>
      </c>
      <c r="D65" s="147">
        <f>IF(Avaliação!H67="","-",Avaliação!H67)</f>
        <v>7.4</v>
      </c>
      <c r="E65" s="147">
        <f>IF(Avaliação!J67="","-",Avaliação!J67)</f>
        <v>4.2</v>
      </c>
      <c r="F65" s="147">
        <f>IF(Avaliação!L67="","-",Avaliação!L67)</f>
        <v>4.0999999999999996</v>
      </c>
      <c r="G65" s="12" t="str">
        <f>IF(Avaliação!N67="","-",Avaliação!N67)</f>
        <v>-</v>
      </c>
      <c r="H65" s="147">
        <f>IF(Avaliação!P67="","-",Avaliação!P67)</f>
        <v>7.1</v>
      </c>
      <c r="I65" s="147">
        <f>IF(Avaliação!R67="","-",Avaliação!R67)</f>
        <v>6.6</v>
      </c>
      <c r="J65" s="12" t="str">
        <f>IF(Avaliação!T67="","-",Avaliação!T67)</f>
        <v>-</v>
      </c>
      <c r="K65" s="147">
        <f>IF(Avaliação!V67="","-",Avaliação!V67)</f>
        <v>4.0999999999999996</v>
      </c>
      <c r="L65" s="12" t="str">
        <f>IF(Avaliação!X67="","-",Avaliação!X67)</f>
        <v>-</v>
      </c>
      <c r="M65" s="12" t="str">
        <f>IF(Avaliação!Z67="","-",Avaliação!Z67)</f>
        <v>-</v>
      </c>
      <c r="N65" s="12" t="str">
        <f>IF(Avaliação!AB67="","-",Avaliação!AB67)</f>
        <v>-</v>
      </c>
      <c r="O65" s="12" t="str">
        <f>IF(Avaliação!AD67="","-",Avaliação!AD67)</f>
        <v>-</v>
      </c>
      <c r="P65" s="12" t="str">
        <f>IF(Avaliação!AF67="","-",Avaliação!AF67)</f>
        <v>-</v>
      </c>
    </row>
    <row r="66" spans="1:16">
      <c r="A66" s="34" t="str">
        <f>Avaliação!A68</f>
        <v>G. Abd. S. Prof.(mm) - p2</v>
      </c>
      <c r="B66" s="12" t="str">
        <f>IF(Avaliação!D68="","-",Avaliação!D68)</f>
        <v>-</v>
      </c>
      <c r="C66" s="12" t="str">
        <f>IF(Avaliação!F68="","-",Avaliação!F68)</f>
        <v>-</v>
      </c>
      <c r="D66" s="12" t="str">
        <f>IF(Avaliação!H68="","-",Avaliação!H68)</f>
        <v>-</v>
      </c>
      <c r="E66" s="12" t="str">
        <f>IF(Avaliação!J68="","-",Avaliação!J68)</f>
        <v>-</v>
      </c>
      <c r="F66" s="12" t="str">
        <f>IF(Avaliação!L68="","-",Avaliação!L68)</f>
        <v>-</v>
      </c>
      <c r="G66" s="12" t="str">
        <f>IF(Avaliação!N68="","-",Avaliação!N68)</f>
        <v>-</v>
      </c>
      <c r="H66" s="12" t="str">
        <f>IF(Avaliação!P68="","-",Avaliação!P68)</f>
        <v>-</v>
      </c>
      <c r="I66" s="12" t="str">
        <f>IF(Avaliação!R68="","-",Avaliação!R68)</f>
        <v>-</v>
      </c>
      <c r="J66" s="12" t="str">
        <f>IF(Avaliação!T68="","-",Avaliação!T68)</f>
        <v>-</v>
      </c>
      <c r="K66" s="12" t="str">
        <f>IF(Avaliação!V68="","-",Avaliação!V68)</f>
        <v>-</v>
      </c>
      <c r="L66" s="12" t="str">
        <f>IF(Avaliação!X68="","-",Avaliação!X68)</f>
        <v>-</v>
      </c>
      <c r="M66" s="12" t="str">
        <f>IF(Avaliação!Z68="","-",Avaliação!Z68)</f>
        <v>-</v>
      </c>
      <c r="N66" s="12" t="str">
        <f>IF(Avaliação!AB68="","-",Avaliação!AB68)</f>
        <v>-</v>
      </c>
      <c r="O66" s="12" t="str">
        <f>IF(Avaliação!AD68="","-",Avaliação!AD68)</f>
        <v>-</v>
      </c>
      <c r="P66" s="12" t="str">
        <f>IF(Avaliação!AF68="","-",Avaliação!AF68)</f>
        <v>-</v>
      </c>
    </row>
    <row r="67" spans="1:16">
      <c r="A67" s="34" t="str">
        <f>Avaliação!A69</f>
        <v>G. Abd. S. Prof.(mm) - p3</v>
      </c>
      <c r="B67" s="12" t="str">
        <f>IF(Avaliação!D69="","-",Avaliação!D69)</f>
        <v>-</v>
      </c>
      <c r="C67" s="12" t="str">
        <f>IF(Avaliação!F69="","-",Avaliação!F69)</f>
        <v>-</v>
      </c>
      <c r="D67" s="12" t="str">
        <f>IF(Avaliação!H69="","-",Avaliação!H69)</f>
        <v>-</v>
      </c>
      <c r="E67" s="12" t="str">
        <f>IF(Avaliação!J69="","-",Avaliação!J69)</f>
        <v>-</v>
      </c>
      <c r="F67" s="12" t="str">
        <f>IF(Avaliação!L69="","-",Avaliação!L69)</f>
        <v>-</v>
      </c>
      <c r="G67" s="12" t="str">
        <f>IF(Avaliação!N69="","-",Avaliação!N69)</f>
        <v>-</v>
      </c>
      <c r="H67" s="12" t="str">
        <f>IF(Avaliação!P69="","-",Avaliação!P69)</f>
        <v>-</v>
      </c>
      <c r="I67" s="12" t="str">
        <f>IF(Avaliação!R69="","-",Avaliação!R69)</f>
        <v>-</v>
      </c>
      <c r="J67" s="12" t="str">
        <f>IF(Avaliação!T69="","-",Avaliação!T69)</f>
        <v>-</v>
      </c>
      <c r="K67" s="12" t="str">
        <f>IF(Avaliação!V69="","-",Avaliação!V69)</f>
        <v>-</v>
      </c>
      <c r="L67" s="12" t="str">
        <f>IF(Avaliação!X69="","-",Avaliação!X69)</f>
        <v>-</v>
      </c>
      <c r="M67" s="12" t="str">
        <f>IF(Avaliação!Z69="","-",Avaliação!Z69)</f>
        <v>-</v>
      </c>
      <c r="N67" s="12" t="str">
        <f>IF(Avaliação!AB69="","-",Avaliação!AB69)</f>
        <v>-</v>
      </c>
      <c r="O67" s="12" t="str">
        <f>IF(Avaliação!AD69="","-",Avaliação!AD69)</f>
        <v>-</v>
      </c>
      <c r="P67" s="12" t="str">
        <f>IF(Avaliação!AF69="","-",Avaliação!AF69)</f>
        <v>-</v>
      </c>
    </row>
    <row r="68" spans="1:16">
      <c r="A68" s="34" t="str">
        <f>Avaliação!A70</f>
        <v>Gordura Abdominal Subcutânea Profunda(mm)</v>
      </c>
      <c r="B68" s="147">
        <f>IF(Avaliação!D70="","-",Avaliação!D70)</f>
        <v>20.6</v>
      </c>
      <c r="C68" s="147">
        <f>IF(Avaliação!F70="","-",Avaliação!F70)</f>
        <v>10.8</v>
      </c>
      <c r="D68" s="147">
        <f>IF(Avaliação!H70="","-",Avaliação!H70)</f>
        <v>7.4</v>
      </c>
      <c r="E68" s="147">
        <f>IF(Avaliação!J70="","-",Avaliação!J70)</f>
        <v>4.2</v>
      </c>
      <c r="F68" s="147">
        <f>IF(Avaliação!L70="","-",Avaliação!L70)</f>
        <v>4.0999999999999996</v>
      </c>
      <c r="G68" s="12" t="str">
        <f>IF(Avaliação!N70="","-",Avaliação!N70)</f>
        <v>-</v>
      </c>
      <c r="H68" s="147">
        <f>IF(Avaliação!P70="","-",Avaliação!P70)</f>
        <v>7.1</v>
      </c>
      <c r="I68" s="147">
        <f>IF(Avaliação!R70="","-",Avaliação!R70)</f>
        <v>6.6</v>
      </c>
      <c r="J68" s="12" t="str">
        <f>IF(Avaliação!T70="","-",Avaliação!T70)</f>
        <v>-</v>
      </c>
      <c r="K68" s="147">
        <f>IF(Avaliação!V70="","-",Avaliação!V70)</f>
        <v>4.0999999999999996</v>
      </c>
      <c r="L68" s="12" t="str">
        <f>IF(Avaliação!X70="","-",Avaliação!X70)</f>
        <v>-</v>
      </c>
      <c r="M68" s="12" t="str">
        <f>IF(Avaliação!Z70="","-",Avaliação!Z70)</f>
        <v>-</v>
      </c>
      <c r="N68" s="12" t="str">
        <f>IF(Avaliação!AB70="","-",Avaliação!AB70)</f>
        <v>-</v>
      </c>
      <c r="O68" s="12" t="str">
        <f>IF(Avaliação!AD70="","-",Avaliação!AD70)</f>
        <v>-</v>
      </c>
      <c r="P68" s="12" t="str">
        <f>IF(Avaliação!AF70="","-",Avaliação!AF70)</f>
        <v>-</v>
      </c>
    </row>
    <row r="69" spans="1:16">
      <c r="A69" s="34" t="str">
        <f>Avaliação!A71</f>
        <v>Gordura Abdominal Supra muscular total(mm)</v>
      </c>
      <c r="B69" s="147">
        <f>IF(Avaliação!D71="","-",Avaliação!D71)</f>
        <v>39.5</v>
      </c>
      <c r="C69" s="147">
        <f>IF(Avaliação!F71="","-",Avaliação!F71)</f>
        <v>18.3</v>
      </c>
      <c r="D69" s="147">
        <f>IF(Avaliação!H71="","-",Avaliação!H71)</f>
        <v>11.7</v>
      </c>
      <c r="E69" s="147">
        <f>IF(Avaliação!J71="","-",Avaliação!J71)</f>
        <v>10.4</v>
      </c>
      <c r="F69" s="147">
        <f>IF(Avaliação!L71="","-",Avaliação!L71)</f>
        <v>10.5</v>
      </c>
      <c r="G69" s="12" t="e">
        <f>IF(Avaliação!N71="","-",Avaliação!N71)</f>
        <v>#VALUE!</v>
      </c>
      <c r="H69" s="147">
        <f>IF(Avaliação!P71="","-",Avaliação!P71)</f>
        <v>12.8</v>
      </c>
      <c r="I69" s="147">
        <f>IF(Avaliação!R71="","-",Avaliação!R71)</f>
        <v>11.6</v>
      </c>
      <c r="J69" s="12" t="e">
        <f>IF(Avaliação!T71="","-",Avaliação!T71)</f>
        <v>#VALUE!</v>
      </c>
      <c r="K69" s="147">
        <f>IF(Avaliação!V71="","-",Avaliação!V71)</f>
        <v>8.1</v>
      </c>
      <c r="L69" s="12" t="e">
        <f>IF(Avaliação!X71="","-",Avaliação!X71)</f>
        <v>#VALUE!</v>
      </c>
      <c r="M69" s="12" t="e">
        <f>IF(Avaliação!Z71="","-",Avaliação!Z71)</f>
        <v>#VALUE!</v>
      </c>
      <c r="N69" s="12" t="e">
        <f>IF(Avaliação!AB71="","-",Avaliação!AB71)</f>
        <v>#VALUE!</v>
      </c>
      <c r="O69" s="12" t="e">
        <f>IF(Avaliação!AD71="","-",Avaliação!AD71)</f>
        <v>#VALUE!</v>
      </c>
      <c r="P69" s="12" t="e">
        <f>IF(Avaliação!AF71="","-",Avaliação!AF71)</f>
        <v>#VALUE!</v>
      </c>
    </row>
    <row r="70" spans="1:16">
      <c r="A70" s="34" t="str">
        <f>Avaliação!A72</f>
        <v>G. C. Ant. do Br(mm) - p1</v>
      </c>
      <c r="B70" s="147">
        <f>IF(Avaliação!D72="","-",Avaliação!D72)</f>
        <v>4.2</v>
      </c>
      <c r="C70" s="147">
        <f>IF(Avaliação!F72="","-",Avaliação!F72)</f>
        <v>3.5</v>
      </c>
      <c r="D70" s="147">
        <f>IF(Avaliação!H72="","-",Avaliação!H72)</f>
        <v>3.4</v>
      </c>
      <c r="E70" s="147">
        <f>IF(Avaliação!J72="","-",Avaliação!J72)</f>
        <v>4.5999999999999996</v>
      </c>
      <c r="F70" s="147">
        <f>IF(Avaliação!L72="","-",Avaliação!L72)</f>
        <v>4.4000000000000004</v>
      </c>
      <c r="G70" s="12" t="str">
        <f>IF(Avaliação!N72="","-",Avaliação!N72)</f>
        <v>-</v>
      </c>
      <c r="H70" s="147">
        <f>IF(Avaliação!P72="","-",Avaliação!P72)</f>
        <v>1.6</v>
      </c>
      <c r="I70" s="147">
        <f>IF(Avaliação!R72="","-",Avaliação!R72)</f>
        <v>2.1</v>
      </c>
      <c r="J70" s="12" t="str">
        <f>IF(Avaliação!T72="","-",Avaliação!T72)</f>
        <v>-</v>
      </c>
      <c r="K70" s="147">
        <f>IF(Avaliação!V72="","-",Avaliação!V72)</f>
        <v>1.4</v>
      </c>
      <c r="L70" s="12" t="str">
        <f>IF(Avaliação!X72="","-",Avaliação!X72)</f>
        <v>-</v>
      </c>
      <c r="M70" s="12" t="str">
        <f>IF(Avaliação!Z72="","-",Avaliação!Z72)</f>
        <v>-</v>
      </c>
      <c r="N70" s="12" t="str">
        <f>IF(Avaliação!AB72="","-",Avaliação!AB72)</f>
        <v>-</v>
      </c>
      <c r="O70" s="12" t="str">
        <f>IF(Avaliação!AD72="","-",Avaliação!AD72)</f>
        <v>-</v>
      </c>
      <c r="P70" s="12" t="str">
        <f>IF(Avaliação!AF72="","-",Avaliação!AF72)</f>
        <v>-</v>
      </c>
    </row>
    <row r="71" spans="1:16">
      <c r="A71" s="34" t="str">
        <f>Avaliação!A73</f>
        <v>G. C. Ant. do Br(mm) - p2</v>
      </c>
      <c r="B71" s="12" t="str">
        <f>IF(Avaliação!D73="","-",Avaliação!D73)</f>
        <v>-</v>
      </c>
      <c r="C71" s="12" t="str">
        <f>IF(Avaliação!F73="","-",Avaliação!F73)</f>
        <v>-</v>
      </c>
      <c r="D71" s="12" t="str">
        <f>IF(Avaliação!H73="","-",Avaliação!H73)</f>
        <v>-</v>
      </c>
      <c r="E71" s="12" t="str">
        <f>IF(Avaliação!J73="","-",Avaliação!J73)</f>
        <v>-</v>
      </c>
      <c r="F71" s="12" t="str">
        <f>IF(Avaliação!L73="","-",Avaliação!L73)</f>
        <v>-</v>
      </c>
      <c r="G71" s="12" t="str">
        <f>IF(Avaliação!N73="","-",Avaliação!N73)</f>
        <v>-</v>
      </c>
      <c r="H71" s="12" t="str">
        <f>IF(Avaliação!P73="","-",Avaliação!P73)</f>
        <v>-</v>
      </c>
      <c r="I71" s="12" t="str">
        <f>IF(Avaliação!R73="","-",Avaliação!R73)</f>
        <v>-</v>
      </c>
      <c r="J71" s="12" t="str">
        <f>IF(Avaliação!T73="","-",Avaliação!T73)</f>
        <v>-</v>
      </c>
      <c r="K71" s="12" t="str">
        <f>IF(Avaliação!V73="","-",Avaliação!V73)</f>
        <v>-</v>
      </c>
      <c r="L71" s="12" t="str">
        <f>IF(Avaliação!X73="","-",Avaliação!X73)</f>
        <v>-</v>
      </c>
      <c r="M71" s="12" t="str">
        <f>IF(Avaliação!Z73="","-",Avaliação!Z73)</f>
        <v>-</v>
      </c>
      <c r="N71" s="12" t="str">
        <f>IF(Avaliação!AB73="","-",Avaliação!AB73)</f>
        <v>-</v>
      </c>
      <c r="O71" s="12" t="str">
        <f>IF(Avaliação!AD73="","-",Avaliação!AD73)</f>
        <v>-</v>
      </c>
      <c r="P71" s="12" t="str">
        <f>IF(Avaliação!AF73="","-",Avaliação!AF73)</f>
        <v>-</v>
      </c>
    </row>
    <row r="72" spans="1:16">
      <c r="A72" s="34" t="str">
        <f>Avaliação!A74</f>
        <v>G. C. Ant. do Br(mm) - p3</v>
      </c>
      <c r="B72" s="12" t="str">
        <f>IF(Avaliação!D74="","-",Avaliação!D74)</f>
        <v>-</v>
      </c>
      <c r="C72" s="12" t="str">
        <f>IF(Avaliação!F74="","-",Avaliação!F74)</f>
        <v>-</v>
      </c>
      <c r="D72" s="12" t="str">
        <f>IF(Avaliação!H74="","-",Avaliação!H74)</f>
        <v>-</v>
      </c>
      <c r="E72" s="12" t="str">
        <f>IF(Avaliação!J74="","-",Avaliação!J74)</f>
        <v>-</v>
      </c>
      <c r="F72" s="12" t="str">
        <f>IF(Avaliação!L74="","-",Avaliação!L74)</f>
        <v>-</v>
      </c>
      <c r="G72" s="12" t="str">
        <f>IF(Avaliação!N74="","-",Avaliação!N74)</f>
        <v>-</v>
      </c>
      <c r="H72" s="12" t="str">
        <f>IF(Avaliação!P74="","-",Avaliação!P74)</f>
        <v>-</v>
      </c>
      <c r="I72" s="12" t="str">
        <f>IF(Avaliação!R74="","-",Avaliação!R74)</f>
        <v>-</v>
      </c>
      <c r="J72" s="12" t="str">
        <f>IF(Avaliação!T74="","-",Avaliação!T74)</f>
        <v>-</v>
      </c>
      <c r="K72" s="12" t="str">
        <f>IF(Avaliação!V74="","-",Avaliação!V74)</f>
        <v>-</v>
      </c>
      <c r="L72" s="12" t="str">
        <f>IF(Avaliação!X74="","-",Avaliação!X74)</f>
        <v>-</v>
      </c>
      <c r="M72" s="12" t="str">
        <f>IF(Avaliação!Z74="","-",Avaliação!Z74)</f>
        <v>-</v>
      </c>
      <c r="N72" s="12" t="str">
        <f>IF(Avaliação!AB74="","-",Avaliação!AB74)</f>
        <v>-</v>
      </c>
      <c r="O72" s="12" t="str">
        <f>IF(Avaliação!AD74="","-",Avaliação!AD74)</f>
        <v>-</v>
      </c>
      <c r="P72" s="12" t="str">
        <f>IF(Avaliação!AF74="","-",Avaliação!AF74)</f>
        <v>-</v>
      </c>
    </row>
    <row r="73" spans="1:16">
      <c r="A73" s="34" t="str">
        <f>Avaliação!A75</f>
        <v>G. C. Ant. do Br(mm) - p4</v>
      </c>
      <c r="B73" s="12" t="str">
        <f>IF(Avaliação!D75="","-",Avaliação!D75)</f>
        <v>-</v>
      </c>
      <c r="C73" s="12" t="str">
        <f>IF(Avaliação!F75="","-",Avaliação!F75)</f>
        <v>-</v>
      </c>
      <c r="D73" s="12" t="str">
        <f>IF(Avaliação!H75="","-",Avaliação!H75)</f>
        <v>-</v>
      </c>
      <c r="E73" s="12" t="str">
        <f>IF(Avaliação!J75="","-",Avaliação!J75)</f>
        <v>-</v>
      </c>
      <c r="F73" s="12" t="str">
        <f>IF(Avaliação!L75="","-",Avaliação!L75)</f>
        <v>-</v>
      </c>
      <c r="G73" s="12" t="str">
        <f>IF(Avaliação!N75="","-",Avaliação!N75)</f>
        <v>-</v>
      </c>
      <c r="H73" s="12" t="str">
        <f>IF(Avaliação!P75="","-",Avaliação!P75)</f>
        <v>-</v>
      </c>
      <c r="I73" s="12" t="str">
        <f>IF(Avaliação!R75="","-",Avaliação!R75)</f>
        <v>-</v>
      </c>
      <c r="J73" s="12" t="str">
        <f>IF(Avaliação!T75="","-",Avaliação!T75)</f>
        <v>-</v>
      </c>
      <c r="K73" s="12" t="str">
        <f>IF(Avaliação!V75="","-",Avaliação!V75)</f>
        <v>-</v>
      </c>
      <c r="L73" s="12" t="str">
        <f>IF(Avaliação!X75="","-",Avaliação!X75)</f>
        <v>-</v>
      </c>
      <c r="M73" s="12" t="str">
        <f>IF(Avaliação!Z75="","-",Avaliação!Z75)</f>
        <v>-</v>
      </c>
      <c r="N73" s="12" t="str">
        <f>IF(Avaliação!AB75="","-",Avaliação!AB75)</f>
        <v>-</v>
      </c>
      <c r="O73" s="12" t="str">
        <f>IF(Avaliação!AD75="","-",Avaliação!AD75)</f>
        <v>-</v>
      </c>
      <c r="P73" s="12" t="str">
        <f>IF(Avaliação!AF75="","-",Avaliação!AF75)</f>
        <v>-</v>
      </c>
    </row>
    <row r="74" spans="1:16">
      <c r="A74" s="34" t="str">
        <f>Avaliação!A76</f>
        <v>G. C. Ant. do Br(mm) - p5</v>
      </c>
      <c r="B74" s="12" t="str">
        <f>IF(Avaliação!D76="","-",Avaliação!D76)</f>
        <v>-</v>
      </c>
      <c r="C74" s="12" t="str">
        <f>IF(Avaliação!F76="","-",Avaliação!F76)</f>
        <v>-</v>
      </c>
      <c r="D74" s="12" t="str">
        <f>IF(Avaliação!H76="","-",Avaliação!H76)</f>
        <v>-</v>
      </c>
      <c r="E74" s="12" t="str">
        <f>IF(Avaliação!J76="","-",Avaliação!J76)</f>
        <v>-</v>
      </c>
      <c r="F74" s="12" t="str">
        <f>IF(Avaliação!L76="","-",Avaliação!L76)</f>
        <v>-</v>
      </c>
      <c r="G74" s="12" t="str">
        <f>IF(Avaliação!N76="","-",Avaliação!N76)</f>
        <v>-</v>
      </c>
      <c r="H74" s="12" t="str">
        <f>IF(Avaliação!P76="","-",Avaliação!P76)</f>
        <v>-</v>
      </c>
      <c r="I74" s="12" t="str">
        <f>IF(Avaliação!R76="","-",Avaliação!R76)</f>
        <v>-</v>
      </c>
      <c r="J74" s="12" t="str">
        <f>IF(Avaliação!T76="","-",Avaliação!T76)</f>
        <v>-</v>
      </c>
      <c r="K74" s="12" t="str">
        <f>IF(Avaliação!V76="","-",Avaliação!V76)</f>
        <v>-</v>
      </c>
      <c r="L74" s="12" t="str">
        <f>IF(Avaliação!X76="","-",Avaliação!X76)</f>
        <v>-</v>
      </c>
      <c r="M74" s="12" t="str">
        <f>IF(Avaliação!Z76="","-",Avaliação!Z76)</f>
        <v>-</v>
      </c>
      <c r="N74" s="12" t="str">
        <f>IF(Avaliação!AB76="","-",Avaliação!AB76)</f>
        <v>-</v>
      </c>
      <c r="O74" s="12" t="str">
        <f>IF(Avaliação!AD76="","-",Avaliação!AD76)</f>
        <v>-</v>
      </c>
      <c r="P74" s="12" t="str">
        <f>IF(Avaliação!AF76="","-",Avaliação!AF76)</f>
        <v>-</v>
      </c>
    </row>
    <row r="75" spans="1:16">
      <c r="A75" s="34" t="str">
        <f>Avaliação!A77</f>
        <v>G. C. Ant. do Br(mm) - p6</v>
      </c>
      <c r="B75" s="12" t="str">
        <f>IF(Avaliação!D77="","-",Avaliação!D77)</f>
        <v>-</v>
      </c>
      <c r="C75" s="12" t="str">
        <f>IF(Avaliação!F77="","-",Avaliação!F77)</f>
        <v>-</v>
      </c>
      <c r="D75" s="12" t="str">
        <f>IF(Avaliação!H77="","-",Avaliação!H77)</f>
        <v>-</v>
      </c>
      <c r="E75" s="12" t="str">
        <f>IF(Avaliação!J77="","-",Avaliação!J77)</f>
        <v>-</v>
      </c>
      <c r="F75" s="12" t="str">
        <f>IF(Avaliação!L77="","-",Avaliação!L77)</f>
        <v>-</v>
      </c>
      <c r="G75" s="12" t="str">
        <f>IF(Avaliação!N77="","-",Avaliação!N77)</f>
        <v>-</v>
      </c>
      <c r="H75" s="12" t="str">
        <f>IF(Avaliação!P77="","-",Avaliação!P77)</f>
        <v>-</v>
      </c>
      <c r="I75" s="12" t="str">
        <f>IF(Avaliação!R77="","-",Avaliação!R77)</f>
        <v>-</v>
      </c>
      <c r="J75" s="12" t="str">
        <f>IF(Avaliação!T77="","-",Avaliação!T77)</f>
        <v>-</v>
      </c>
      <c r="K75" s="12" t="str">
        <f>IF(Avaliação!V77="","-",Avaliação!V77)</f>
        <v>-</v>
      </c>
      <c r="L75" s="12" t="str">
        <f>IF(Avaliação!X77="","-",Avaliação!X77)</f>
        <v>-</v>
      </c>
      <c r="M75" s="12" t="str">
        <f>IF(Avaliação!Z77="","-",Avaliação!Z77)</f>
        <v>-</v>
      </c>
      <c r="N75" s="12" t="str">
        <f>IF(Avaliação!AB77="","-",Avaliação!AB77)</f>
        <v>-</v>
      </c>
      <c r="O75" s="12" t="str">
        <f>IF(Avaliação!AD77="","-",Avaliação!AD77)</f>
        <v>-</v>
      </c>
      <c r="P75" s="12" t="str">
        <f>IF(Avaliação!AF77="","-",Avaliação!AF77)</f>
        <v>-</v>
      </c>
    </row>
    <row r="76" spans="1:16">
      <c r="A76" s="34" t="str">
        <f>Avaliação!A78</f>
        <v>G. C. Ant. do Br(mm) - p7</v>
      </c>
      <c r="B76" s="12" t="str">
        <f>IF(Avaliação!D78="","-",Avaliação!D78)</f>
        <v>-</v>
      </c>
      <c r="C76" s="12" t="str">
        <f>IF(Avaliação!F78="","-",Avaliação!F78)</f>
        <v>-</v>
      </c>
      <c r="D76" s="12" t="str">
        <f>IF(Avaliação!H78="","-",Avaliação!H78)</f>
        <v>-</v>
      </c>
      <c r="E76" s="12" t="str">
        <f>IF(Avaliação!J78="","-",Avaliação!J78)</f>
        <v>-</v>
      </c>
      <c r="F76" s="12" t="str">
        <f>IF(Avaliação!L78="","-",Avaliação!L78)</f>
        <v>-</v>
      </c>
      <c r="G76" s="12" t="str">
        <f>IF(Avaliação!N78="","-",Avaliação!N78)</f>
        <v>-</v>
      </c>
      <c r="H76" s="12" t="str">
        <f>IF(Avaliação!P78="","-",Avaliação!P78)</f>
        <v>-</v>
      </c>
      <c r="I76" s="12" t="str">
        <f>IF(Avaliação!R78="","-",Avaliação!R78)</f>
        <v>-</v>
      </c>
      <c r="J76" s="12" t="str">
        <f>IF(Avaliação!T78="","-",Avaliação!T78)</f>
        <v>-</v>
      </c>
      <c r="K76" s="12" t="str">
        <f>IF(Avaliação!V78="","-",Avaliação!V78)</f>
        <v>-</v>
      </c>
      <c r="L76" s="12" t="str">
        <f>IF(Avaliação!X78="","-",Avaliação!X78)</f>
        <v>-</v>
      </c>
      <c r="M76" s="12" t="str">
        <f>IF(Avaliação!Z78="","-",Avaliação!Z78)</f>
        <v>-</v>
      </c>
      <c r="N76" s="12" t="str">
        <f>IF(Avaliação!AB78="","-",Avaliação!AB78)</f>
        <v>-</v>
      </c>
      <c r="O76" s="12" t="str">
        <f>IF(Avaliação!AD78="","-",Avaliação!AD78)</f>
        <v>-</v>
      </c>
      <c r="P76" s="12" t="str">
        <f>IF(Avaliação!AF78="","-",Avaliação!AF78)</f>
        <v>-</v>
      </c>
    </row>
    <row r="77" spans="1:16">
      <c r="A77" s="34" t="str">
        <f>Avaliação!A79</f>
        <v>G. C. Ant. do Br(mm) - p8</v>
      </c>
      <c r="B77" s="12" t="str">
        <f>IF(Avaliação!D79="","-",Avaliação!D79)</f>
        <v>-</v>
      </c>
      <c r="C77" s="12" t="str">
        <f>IF(Avaliação!F79="","-",Avaliação!F79)</f>
        <v>-</v>
      </c>
      <c r="D77" s="12" t="str">
        <f>IF(Avaliação!H79="","-",Avaliação!H79)</f>
        <v>-</v>
      </c>
      <c r="E77" s="12" t="str">
        <f>IF(Avaliação!J79="","-",Avaliação!J79)</f>
        <v>-</v>
      </c>
      <c r="F77" s="12" t="str">
        <f>IF(Avaliação!L79="","-",Avaliação!L79)</f>
        <v>-</v>
      </c>
      <c r="G77" s="12" t="str">
        <f>IF(Avaliação!N79="","-",Avaliação!N79)</f>
        <v>-</v>
      </c>
      <c r="H77" s="12" t="str">
        <f>IF(Avaliação!P79="","-",Avaliação!P79)</f>
        <v>-</v>
      </c>
      <c r="I77" s="12" t="str">
        <f>IF(Avaliação!R79="","-",Avaliação!R79)</f>
        <v>-</v>
      </c>
      <c r="J77" s="12" t="str">
        <f>IF(Avaliação!T79="","-",Avaliação!T79)</f>
        <v>-</v>
      </c>
      <c r="K77" s="12" t="str">
        <f>IF(Avaliação!V79="","-",Avaliação!V79)</f>
        <v>-</v>
      </c>
      <c r="L77" s="12" t="str">
        <f>IF(Avaliação!X79="","-",Avaliação!X79)</f>
        <v>-</v>
      </c>
      <c r="M77" s="12" t="str">
        <f>IF(Avaliação!Z79="","-",Avaliação!Z79)</f>
        <v>-</v>
      </c>
      <c r="N77" s="12" t="str">
        <f>IF(Avaliação!AB79="","-",Avaliação!AB79)</f>
        <v>-</v>
      </c>
      <c r="O77" s="12" t="str">
        <f>IF(Avaliação!AD79="","-",Avaliação!AD79)</f>
        <v>-</v>
      </c>
      <c r="P77" s="12" t="str">
        <f>IF(Avaliação!AF79="","-",Avaliação!AF79)</f>
        <v>-</v>
      </c>
    </row>
    <row r="78" spans="1:16">
      <c r="A78" s="34" t="str">
        <f>Avaliação!A80</f>
        <v>G. C. Ant. do Br(mm) - p9</v>
      </c>
      <c r="B78" s="12" t="str">
        <f>IF(Avaliação!D80="","-",Avaliação!D80)</f>
        <v>-</v>
      </c>
      <c r="C78" s="12" t="str">
        <f>IF(Avaliação!F80="","-",Avaliação!F80)</f>
        <v>-</v>
      </c>
      <c r="D78" s="12" t="str">
        <f>IF(Avaliação!H80="","-",Avaliação!H80)</f>
        <v>-</v>
      </c>
      <c r="E78" s="12" t="str">
        <f>IF(Avaliação!J80="","-",Avaliação!J80)</f>
        <v>-</v>
      </c>
      <c r="F78" s="12" t="str">
        <f>IF(Avaliação!L80="","-",Avaliação!L80)</f>
        <v>-</v>
      </c>
      <c r="G78" s="12" t="str">
        <f>IF(Avaliação!N80="","-",Avaliação!N80)</f>
        <v>-</v>
      </c>
      <c r="H78" s="12" t="str">
        <f>IF(Avaliação!P80="","-",Avaliação!P80)</f>
        <v>-</v>
      </c>
      <c r="I78" s="12" t="str">
        <f>IF(Avaliação!R80="","-",Avaliação!R80)</f>
        <v>-</v>
      </c>
      <c r="J78" s="12" t="str">
        <f>IF(Avaliação!T80="","-",Avaliação!T80)</f>
        <v>-</v>
      </c>
      <c r="K78" s="12" t="str">
        <f>IF(Avaliação!V80="","-",Avaliação!V80)</f>
        <v>-</v>
      </c>
      <c r="L78" s="12" t="str">
        <f>IF(Avaliação!X80="","-",Avaliação!X80)</f>
        <v>-</v>
      </c>
      <c r="M78" s="12" t="str">
        <f>IF(Avaliação!Z80="","-",Avaliação!Z80)</f>
        <v>-</v>
      </c>
      <c r="N78" s="12" t="str">
        <f>IF(Avaliação!AB80="","-",Avaliação!AB80)</f>
        <v>-</v>
      </c>
      <c r="O78" s="12" t="str">
        <f>IF(Avaliação!AD80="","-",Avaliação!AD80)</f>
        <v>-</v>
      </c>
      <c r="P78" s="12" t="str">
        <f>IF(Avaliação!AF80="","-",Avaliação!AF80)</f>
        <v>-</v>
      </c>
    </row>
    <row r="79" spans="1:16">
      <c r="A79" s="34" t="str">
        <f>Avaliação!A81</f>
        <v>Compartimento Anterior do Braço(mm)</v>
      </c>
      <c r="B79" s="147">
        <f>IF(Avaliação!D81="","-",Avaliação!D81)</f>
        <v>4.2</v>
      </c>
      <c r="C79" s="147">
        <f>IF(Avaliação!F81="","-",Avaliação!F81)</f>
        <v>3.5</v>
      </c>
      <c r="D79" s="147">
        <f>IF(Avaliação!H81="","-",Avaliação!H81)</f>
        <v>3.4</v>
      </c>
      <c r="E79" s="147">
        <f>IF(Avaliação!J81="","-",Avaliação!J81)</f>
        <v>4.5999999999999996</v>
      </c>
      <c r="F79" s="147">
        <f>IF(Avaliação!L81="","-",Avaliação!L81)</f>
        <v>4.4000000000000004</v>
      </c>
      <c r="G79" s="12" t="str">
        <f>IF(Avaliação!N81="","-",Avaliação!N81)</f>
        <v>-</v>
      </c>
      <c r="H79" s="147">
        <f>IF(Avaliação!P81="","-",Avaliação!P81)</f>
        <v>1.6</v>
      </c>
      <c r="I79" s="147">
        <f>IF(Avaliação!R81="","-",Avaliação!R81)</f>
        <v>2.1</v>
      </c>
      <c r="J79" s="12" t="str">
        <f>IF(Avaliação!T81="","-",Avaliação!T81)</f>
        <v>-</v>
      </c>
      <c r="K79" s="147">
        <f>IF(Avaliação!V81="","-",Avaliação!V81)</f>
        <v>1.4</v>
      </c>
      <c r="L79" s="12" t="str">
        <f>IF(Avaliação!X81="","-",Avaliação!X81)</f>
        <v>-</v>
      </c>
      <c r="M79" s="12" t="str">
        <f>IF(Avaliação!Z81="","-",Avaliação!Z81)</f>
        <v>-</v>
      </c>
      <c r="N79" s="12" t="str">
        <f>IF(Avaliação!AB81="","-",Avaliação!AB81)</f>
        <v>-</v>
      </c>
      <c r="O79" s="12" t="str">
        <f>IF(Avaliação!AD81="","-",Avaliação!AD81)</f>
        <v>-</v>
      </c>
      <c r="P79" s="12" t="str">
        <f>IF(Avaliação!AF81="","-",Avaliação!AF81)</f>
        <v>-</v>
      </c>
    </row>
    <row r="80" spans="1:16">
      <c r="A80" s="34" t="str">
        <f>Avaliação!A82</f>
        <v>G. C. Post. do Br(mm) - p1</v>
      </c>
      <c r="B80" s="147">
        <f>IF(Avaliação!D82="","-",Avaliação!D82)</f>
        <v>5.4</v>
      </c>
      <c r="C80" s="147">
        <f>IF(Avaliação!F82="","-",Avaliação!F82)</f>
        <v>6.3</v>
      </c>
      <c r="D80" s="147">
        <f>IF(Avaliação!H82="","-",Avaliação!H82)</f>
        <v>4</v>
      </c>
      <c r="E80" s="147">
        <f>IF(Avaliação!J82="","-",Avaliação!J82)</f>
        <v>4.3</v>
      </c>
      <c r="F80" s="147">
        <f>IF(Avaliação!L82="","-",Avaliação!L82)</f>
        <v>4</v>
      </c>
      <c r="G80" s="12" t="str">
        <f>IF(Avaliação!N82="","-",Avaliação!N82)</f>
        <v>-</v>
      </c>
      <c r="H80" s="147">
        <f>IF(Avaliação!P82="","-",Avaliação!P82)</f>
        <v>1.8</v>
      </c>
      <c r="I80" s="147">
        <f>IF(Avaliação!R82="","-",Avaliação!R82)</f>
        <v>3.2</v>
      </c>
      <c r="J80" s="12" t="str">
        <f>IF(Avaliação!T82="","-",Avaliação!T82)</f>
        <v>-</v>
      </c>
      <c r="K80" s="147">
        <f>IF(Avaliação!V82="","-",Avaliação!V82)</f>
        <v>2</v>
      </c>
      <c r="L80" s="12" t="str">
        <f>IF(Avaliação!X82="","-",Avaliação!X82)</f>
        <v>-</v>
      </c>
      <c r="M80" s="12" t="str">
        <f>IF(Avaliação!Z82="","-",Avaliação!Z82)</f>
        <v>-</v>
      </c>
      <c r="N80" s="12" t="str">
        <f>IF(Avaliação!AB82="","-",Avaliação!AB82)</f>
        <v>-</v>
      </c>
      <c r="O80" s="12" t="str">
        <f>IF(Avaliação!AD82="","-",Avaliação!AD82)</f>
        <v>-</v>
      </c>
      <c r="P80" s="12" t="str">
        <f>IF(Avaliação!AF82="","-",Avaliação!AF82)</f>
        <v>-</v>
      </c>
    </row>
    <row r="81" spans="1:16">
      <c r="A81" s="34" t="str">
        <f>Avaliação!A83</f>
        <v>G. C. Post. do Br(mm) - p2</v>
      </c>
      <c r="B81" s="12" t="str">
        <f>IF(Avaliação!D83="","-",Avaliação!D83)</f>
        <v>-</v>
      </c>
      <c r="C81" s="12" t="str">
        <f>IF(Avaliação!F83="","-",Avaliação!F83)</f>
        <v>-</v>
      </c>
      <c r="D81" s="12" t="str">
        <f>IF(Avaliação!H83="","-",Avaliação!H83)</f>
        <v>-</v>
      </c>
      <c r="E81" s="12" t="str">
        <f>IF(Avaliação!J83="","-",Avaliação!J83)</f>
        <v>-</v>
      </c>
      <c r="F81" s="12" t="str">
        <f>IF(Avaliação!L83="","-",Avaliação!L83)</f>
        <v>-</v>
      </c>
      <c r="G81" s="12" t="str">
        <f>IF(Avaliação!N83="","-",Avaliação!N83)</f>
        <v>-</v>
      </c>
      <c r="H81" s="12" t="str">
        <f>IF(Avaliação!P83="","-",Avaliação!P83)</f>
        <v>-</v>
      </c>
      <c r="I81" s="12" t="str">
        <f>IF(Avaliação!R83="","-",Avaliação!R83)</f>
        <v>-</v>
      </c>
      <c r="J81" s="12" t="str">
        <f>IF(Avaliação!T83="","-",Avaliação!T83)</f>
        <v>-</v>
      </c>
      <c r="K81" s="12" t="str">
        <f>IF(Avaliação!V83="","-",Avaliação!V83)</f>
        <v>-</v>
      </c>
      <c r="L81" s="12" t="str">
        <f>IF(Avaliação!X83="","-",Avaliação!X83)</f>
        <v>-</v>
      </c>
      <c r="M81" s="12" t="str">
        <f>IF(Avaliação!Z83="","-",Avaliação!Z83)</f>
        <v>-</v>
      </c>
      <c r="N81" s="12" t="str">
        <f>IF(Avaliação!AB83="","-",Avaliação!AB83)</f>
        <v>-</v>
      </c>
      <c r="O81" s="12" t="str">
        <f>IF(Avaliação!AD83="","-",Avaliação!AD83)</f>
        <v>-</v>
      </c>
      <c r="P81" s="12" t="str">
        <f>IF(Avaliação!AF83="","-",Avaliação!AF83)</f>
        <v>-</v>
      </c>
    </row>
    <row r="82" spans="1:16">
      <c r="A82" s="34" t="str">
        <f>Avaliação!A84</f>
        <v>G. C. Post. do Br(mm) - p3</v>
      </c>
      <c r="B82" s="12" t="str">
        <f>IF(Avaliação!D84="","-",Avaliação!D84)</f>
        <v>-</v>
      </c>
      <c r="C82" s="12" t="str">
        <f>IF(Avaliação!F84="","-",Avaliação!F84)</f>
        <v>-</v>
      </c>
      <c r="D82" s="12" t="str">
        <f>IF(Avaliação!H84="","-",Avaliação!H84)</f>
        <v>-</v>
      </c>
      <c r="E82" s="12" t="str">
        <f>IF(Avaliação!J84="","-",Avaliação!J84)</f>
        <v>-</v>
      </c>
      <c r="F82" s="12" t="str">
        <f>IF(Avaliação!L84="","-",Avaliação!L84)</f>
        <v>-</v>
      </c>
      <c r="G82" s="12" t="str">
        <f>IF(Avaliação!N84="","-",Avaliação!N84)</f>
        <v>-</v>
      </c>
      <c r="H82" s="12" t="str">
        <f>IF(Avaliação!P84="","-",Avaliação!P84)</f>
        <v>-</v>
      </c>
      <c r="I82" s="12" t="str">
        <f>IF(Avaliação!R84="","-",Avaliação!R84)</f>
        <v>-</v>
      </c>
      <c r="J82" s="12" t="str">
        <f>IF(Avaliação!T84="","-",Avaliação!T84)</f>
        <v>-</v>
      </c>
      <c r="K82" s="12" t="str">
        <f>IF(Avaliação!V84="","-",Avaliação!V84)</f>
        <v>-</v>
      </c>
      <c r="L82" s="12" t="str">
        <f>IF(Avaliação!X84="","-",Avaliação!X84)</f>
        <v>-</v>
      </c>
      <c r="M82" s="12" t="str">
        <f>IF(Avaliação!Z84="","-",Avaliação!Z84)</f>
        <v>-</v>
      </c>
      <c r="N82" s="12" t="str">
        <f>IF(Avaliação!AB84="","-",Avaliação!AB84)</f>
        <v>-</v>
      </c>
      <c r="O82" s="12" t="str">
        <f>IF(Avaliação!AD84="","-",Avaliação!AD84)</f>
        <v>-</v>
      </c>
      <c r="P82" s="12" t="str">
        <f>IF(Avaliação!AF84="","-",Avaliação!AF84)</f>
        <v>-</v>
      </c>
    </row>
    <row r="83" spans="1:16">
      <c r="A83" s="34" t="str">
        <f>Avaliação!A85</f>
        <v>G. C. Post. do Br(mm) - p4</v>
      </c>
      <c r="B83" s="12" t="str">
        <f>IF(Avaliação!D85="","-",Avaliação!D85)</f>
        <v>-</v>
      </c>
      <c r="C83" s="12" t="str">
        <f>IF(Avaliação!F85="","-",Avaliação!F85)</f>
        <v>-</v>
      </c>
      <c r="D83" s="12" t="str">
        <f>IF(Avaliação!H85="","-",Avaliação!H85)</f>
        <v>-</v>
      </c>
      <c r="E83" s="12" t="str">
        <f>IF(Avaliação!J85="","-",Avaliação!J85)</f>
        <v>-</v>
      </c>
      <c r="F83" s="12" t="str">
        <f>IF(Avaliação!L85="","-",Avaliação!L85)</f>
        <v>-</v>
      </c>
      <c r="G83" s="12" t="str">
        <f>IF(Avaliação!N85="","-",Avaliação!N85)</f>
        <v>-</v>
      </c>
      <c r="H83" s="12" t="str">
        <f>IF(Avaliação!P85="","-",Avaliação!P85)</f>
        <v>-</v>
      </c>
      <c r="I83" s="12" t="str">
        <f>IF(Avaliação!R85="","-",Avaliação!R85)</f>
        <v>-</v>
      </c>
      <c r="J83" s="12" t="str">
        <f>IF(Avaliação!T85="","-",Avaliação!T85)</f>
        <v>-</v>
      </c>
      <c r="K83" s="12" t="str">
        <f>IF(Avaliação!V85="","-",Avaliação!V85)</f>
        <v>-</v>
      </c>
      <c r="L83" s="12" t="str">
        <f>IF(Avaliação!X85="","-",Avaliação!X85)</f>
        <v>-</v>
      </c>
      <c r="M83" s="12" t="str">
        <f>IF(Avaliação!Z85="","-",Avaliação!Z85)</f>
        <v>-</v>
      </c>
      <c r="N83" s="12" t="str">
        <f>IF(Avaliação!AB85="","-",Avaliação!AB85)</f>
        <v>-</v>
      </c>
      <c r="O83" s="12" t="str">
        <f>IF(Avaliação!AD85="","-",Avaliação!AD85)</f>
        <v>-</v>
      </c>
      <c r="P83" s="12" t="str">
        <f>IF(Avaliação!AF85="","-",Avaliação!AF85)</f>
        <v>-</v>
      </c>
    </row>
    <row r="84" spans="1:16">
      <c r="A84" s="34" t="str">
        <f>Avaliação!A86</f>
        <v>G. C. Post. do Br(mm) - p5</v>
      </c>
      <c r="B84" s="12" t="str">
        <f>IF(Avaliação!D86="","-",Avaliação!D86)</f>
        <v>-</v>
      </c>
      <c r="C84" s="12" t="str">
        <f>IF(Avaliação!F86="","-",Avaliação!F86)</f>
        <v>-</v>
      </c>
      <c r="D84" s="12" t="str">
        <f>IF(Avaliação!H86="","-",Avaliação!H86)</f>
        <v>-</v>
      </c>
      <c r="E84" s="12" t="str">
        <f>IF(Avaliação!J86="","-",Avaliação!J86)</f>
        <v>-</v>
      </c>
      <c r="F84" s="12" t="str">
        <f>IF(Avaliação!L86="","-",Avaliação!L86)</f>
        <v>-</v>
      </c>
      <c r="G84" s="12" t="str">
        <f>IF(Avaliação!N86="","-",Avaliação!N86)</f>
        <v>-</v>
      </c>
      <c r="H84" s="12" t="str">
        <f>IF(Avaliação!P86="","-",Avaliação!P86)</f>
        <v>-</v>
      </c>
      <c r="I84" s="12" t="str">
        <f>IF(Avaliação!R86="","-",Avaliação!R86)</f>
        <v>-</v>
      </c>
      <c r="J84" s="12" t="str">
        <f>IF(Avaliação!T86="","-",Avaliação!T86)</f>
        <v>-</v>
      </c>
      <c r="K84" s="12" t="str">
        <f>IF(Avaliação!V86="","-",Avaliação!V86)</f>
        <v>-</v>
      </c>
      <c r="L84" s="12" t="str">
        <f>IF(Avaliação!X86="","-",Avaliação!X86)</f>
        <v>-</v>
      </c>
      <c r="M84" s="12" t="str">
        <f>IF(Avaliação!Z86="","-",Avaliação!Z86)</f>
        <v>-</v>
      </c>
      <c r="N84" s="12" t="str">
        <f>IF(Avaliação!AB86="","-",Avaliação!AB86)</f>
        <v>-</v>
      </c>
      <c r="O84" s="12" t="str">
        <f>IF(Avaliação!AD86="","-",Avaliação!AD86)</f>
        <v>-</v>
      </c>
      <c r="P84" s="12" t="str">
        <f>IF(Avaliação!AF86="","-",Avaliação!AF86)</f>
        <v>-</v>
      </c>
    </row>
    <row r="85" spans="1:16">
      <c r="A85" s="34" t="str">
        <f>Avaliação!A87</f>
        <v>G. C. Post. do Br(mm) - p6</v>
      </c>
      <c r="B85" s="12" t="str">
        <f>IF(Avaliação!D87="","-",Avaliação!D87)</f>
        <v>-</v>
      </c>
      <c r="C85" s="12" t="str">
        <f>IF(Avaliação!F87="","-",Avaliação!F87)</f>
        <v>-</v>
      </c>
      <c r="D85" s="12" t="str">
        <f>IF(Avaliação!H87="","-",Avaliação!H87)</f>
        <v>-</v>
      </c>
      <c r="E85" s="12" t="str">
        <f>IF(Avaliação!J87="","-",Avaliação!J87)</f>
        <v>-</v>
      </c>
      <c r="F85" s="12" t="str">
        <f>IF(Avaliação!L87="","-",Avaliação!L87)</f>
        <v>-</v>
      </c>
      <c r="G85" s="12" t="str">
        <f>IF(Avaliação!N87="","-",Avaliação!N87)</f>
        <v>-</v>
      </c>
      <c r="H85" s="12" t="str">
        <f>IF(Avaliação!P87="","-",Avaliação!P87)</f>
        <v>-</v>
      </c>
      <c r="I85" s="12" t="str">
        <f>IF(Avaliação!R87="","-",Avaliação!R87)</f>
        <v>-</v>
      </c>
      <c r="J85" s="12" t="str">
        <f>IF(Avaliação!T87="","-",Avaliação!T87)</f>
        <v>-</v>
      </c>
      <c r="K85" s="12" t="str">
        <f>IF(Avaliação!V87="","-",Avaliação!V87)</f>
        <v>-</v>
      </c>
      <c r="L85" s="12" t="str">
        <f>IF(Avaliação!X87="","-",Avaliação!X87)</f>
        <v>-</v>
      </c>
      <c r="M85" s="12" t="str">
        <f>IF(Avaliação!Z87="","-",Avaliação!Z87)</f>
        <v>-</v>
      </c>
      <c r="N85" s="12" t="str">
        <f>IF(Avaliação!AB87="","-",Avaliação!AB87)</f>
        <v>-</v>
      </c>
      <c r="O85" s="12" t="str">
        <f>IF(Avaliação!AD87="","-",Avaliação!AD87)</f>
        <v>-</v>
      </c>
      <c r="P85" s="12" t="str">
        <f>IF(Avaliação!AF87="","-",Avaliação!AF87)</f>
        <v>-</v>
      </c>
    </row>
    <row r="86" spans="1:16">
      <c r="A86" s="34" t="str">
        <f>Avaliação!A88</f>
        <v>G. C. Post. do Br(mm) - p7</v>
      </c>
      <c r="B86" s="12" t="str">
        <f>IF(Avaliação!D88="","-",Avaliação!D88)</f>
        <v>-</v>
      </c>
      <c r="C86" s="12" t="str">
        <f>IF(Avaliação!F88="","-",Avaliação!F88)</f>
        <v>-</v>
      </c>
      <c r="D86" s="12" t="str">
        <f>IF(Avaliação!H88="","-",Avaliação!H88)</f>
        <v>-</v>
      </c>
      <c r="E86" s="12" t="str">
        <f>IF(Avaliação!J88="","-",Avaliação!J88)</f>
        <v>-</v>
      </c>
      <c r="F86" s="12" t="str">
        <f>IF(Avaliação!L88="","-",Avaliação!L88)</f>
        <v>-</v>
      </c>
      <c r="G86" s="12" t="str">
        <f>IF(Avaliação!N88="","-",Avaliação!N88)</f>
        <v>-</v>
      </c>
      <c r="H86" s="12" t="str">
        <f>IF(Avaliação!P88="","-",Avaliação!P88)</f>
        <v>-</v>
      </c>
      <c r="I86" s="12" t="str">
        <f>IF(Avaliação!R88="","-",Avaliação!R88)</f>
        <v>-</v>
      </c>
      <c r="J86" s="12" t="str">
        <f>IF(Avaliação!T88="","-",Avaliação!T88)</f>
        <v>-</v>
      </c>
      <c r="K86" s="12" t="str">
        <f>IF(Avaliação!V88="","-",Avaliação!V88)</f>
        <v>-</v>
      </c>
      <c r="L86" s="12" t="str">
        <f>IF(Avaliação!X88="","-",Avaliação!X88)</f>
        <v>-</v>
      </c>
      <c r="M86" s="12" t="str">
        <f>IF(Avaliação!Z88="","-",Avaliação!Z88)</f>
        <v>-</v>
      </c>
      <c r="N86" s="12" t="str">
        <f>IF(Avaliação!AB88="","-",Avaliação!AB88)</f>
        <v>-</v>
      </c>
      <c r="O86" s="12" t="str">
        <f>IF(Avaliação!AD88="","-",Avaliação!AD88)</f>
        <v>-</v>
      </c>
      <c r="P86" s="12" t="str">
        <f>IF(Avaliação!AF88="","-",Avaliação!AF88)</f>
        <v>-</v>
      </c>
    </row>
    <row r="87" spans="1:16">
      <c r="A87" s="34" t="str">
        <f>Avaliação!A89</f>
        <v>G. C. Post. do Br(mm) - p8</v>
      </c>
      <c r="B87" s="12" t="str">
        <f>IF(Avaliação!D89="","-",Avaliação!D89)</f>
        <v>-</v>
      </c>
      <c r="C87" s="12" t="str">
        <f>IF(Avaliação!F89="","-",Avaliação!F89)</f>
        <v>-</v>
      </c>
      <c r="D87" s="12" t="str">
        <f>IF(Avaliação!H89="","-",Avaliação!H89)</f>
        <v>-</v>
      </c>
      <c r="E87" s="12" t="str">
        <f>IF(Avaliação!J89="","-",Avaliação!J89)</f>
        <v>-</v>
      </c>
      <c r="F87" s="12" t="str">
        <f>IF(Avaliação!L89="","-",Avaliação!L89)</f>
        <v>-</v>
      </c>
      <c r="G87" s="12" t="str">
        <f>IF(Avaliação!N89="","-",Avaliação!N89)</f>
        <v>-</v>
      </c>
      <c r="H87" s="12" t="str">
        <f>IF(Avaliação!P89="","-",Avaliação!P89)</f>
        <v>-</v>
      </c>
      <c r="I87" s="12" t="str">
        <f>IF(Avaliação!R89="","-",Avaliação!R89)</f>
        <v>-</v>
      </c>
      <c r="J87" s="12" t="str">
        <f>IF(Avaliação!T89="","-",Avaliação!T89)</f>
        <v>-</v>
      </c>
      <c r="K87" s="12" t="str">
        <f>IF(Avaliação!V89="","-",Avaliação!V89)</f>
        <v>-</v>
      </c>
      <c r="L87" s="12" t="str">
        <f>IF(Avaliação!X89="","-",Avaliação!X89)</f>
        <v>-</v>
      </c>
      <c r="M87" s="12" t="str">
        <f>IF(Avaliação!Z89="","-",Avaliação!Z89)</f>
        <v>-</v>
      </c>
      <c r="N87" s="12" t="str">
        <f>IF(Avaliação!AB89="","-",Avaliação!AB89)</f>
        <v>-</v>
      </c>
      <c r="O87" s="12" t="str">
        <f>IF(Avaliação!AD89="","-",Avaliação!AD89)</f>
        <v>-</v>
      </c>
      <c r="P87" s="12" t="str">
        <f>IF(Avaliação!AF89="","-",Avaliação!AF89)</f>
        <v>-</v>
      </c>
    </row>
    <row r="88" spans="1:16">
      <c r="A88" s="34" t="str">
        <f>Avaliação!A90</f>
        <v>G. C. Post. do Br(mm) - p9</v>
      </c>
      <c r="B88" s="12" t="str">
        <f>IF(Avaliação!D90="","-",Avaliação!D90)</f>
        <v>-</v>
      </c>
      <c r="C88" s="12" t="str">
        <f>IF(Avaliação!F90="","-",Avaliação!F90)</f>
        <v>-</v>
      </c>
      <c r="D88" s="12" t="str">
        <f>IF(Avaliação!H90="","-",Avaliação!H90)</f>
        <v>-</v>
      </c>
      <c r="E88" s="12" t="str">
        <f>IF(Avaliação!J90="","-",Avaliação!J90)</f>
        <v>-</v>
      </c>
      <c r="F88" s="12" t="str">
        <f>IF(Avaliação!L90="","-",Avaliação!L90)</f>
        <v>-</v>
      </c>
      <c r="G88" s="12" t="str">
        <f>IF(Avaliação!N90="","-",Avaliação!N90)</f>
        <v>-</v>
      </c>
      <c r="H88" s="12" t="str">
        <f>IF(Avaliação!P90="","-",Avaliação!P90)</f>
        <v>-</v>
      </c>
      <c r="I88" s="12" t="str">
        <f>IF(Avaliação!R90="","-",Avaliação!R90)</f>
        <v>-</v>
      </c>
      <c r="J88" s="12" t="str">
        <f>IF(Avaliação!T90="","-",Avaliação!T90)</f>
        <v>-</v>
      </c>
      <c r="K88" s="12" t="str">
        <f>IF(Avaliação!V90="","-",Avaliação!V90)</f>
        <v>-</v>
      </c>
      <c r="L88" s="12" t="str">
        <f>IF(Avaliação!X90="","-",Avaliação!X90)</f>
        <v>-</v>
      </c>
      <c r="M88" s="12" t="str">
        <f>IF(Avaliação!Z90="","-",Avaliação!Z90)</f>
        <v>-</v>
      </c>
      <c r="N88" s="12" t="str">
        <f>IF(Avaliação!AB90="","-",Avaliação!AB90)</f>
        <v>-</v>
      </c>
      <c r="O88" s="12" t="str">
        <f>IF(Avaliação!AD90="","-",Avaliação!AD90)</f>
        <v>-</v>
      </c>
      <c r="P88" s="12" t="str">
        <f>IF(Avaliação!AF90="","-",Avaliação!AF90)</f>
        <v>-</v>
      </c>
    </row>
    <row r="89" spans="1:16">
      <c r="A89" s="34" t="str">
        <f>Avaliação!A91</f>
        <v>Compartimento Posterior do Braço(mm)</v>
      </c>
      <c r="B89" s="147">
        <f>IF(Avaliação!D91="","-",Avaliação!D91)</f>
        <v>5.4</v>
      </c>
      <c r="C89" s="147">
        <f>IF(Avaliação!F91="","-",Avaliação!F91)</f>
        <v>6.3</v>
      </c>
      <c r="D89" s="147">
        <f>IF(Avaliação!H91="","-",Avaliação!H91)</f>
        <v>4</v>
      </c>
      <c r="E89" s="147">
        <f>IF(Avaliação!J91="","-",Avaliação!J91)</f>
        <v>4.3</v>
      </c>
      <c r="F89" s="147">
        <f>IF(Avaliação!L91="","-",Avaliação!L91)</f>
        <v>4</v>
      </c>
      <c r="G89" s="12" t="str">
        <f>IF(Avaliação!N91="","-",Avaliação!N91)</f>
        <v>-</v>
      </c>
      <c r="H89" s="147">
        <f>IF(Avaliação!P91="","-",Avaliação!P91)</f>
        <v>1.8</v>
      </c>
      <c r="I89" s="147">
        <f>IF(Avaliação!R91="","-",Avaliação!R91)</f>
        <v>3.2</v>
      </c>
      <c r="J89" s="12" t="str">
        <f>IF(Avaliação!T91="","-",Avaliação!T91)</f>
        <v>-</v>
      </c>
      <c r="K89" s="147">
        <f>IF(Avaliação!V91="","-",Avaliação!V91)</f>
        <v>2</v>
      </c>
      <c r="L89" s="12" t="str">
        <f>IF(Avaliação!X91="","-",Avaliação!X91)</f>
        <v>-</v>
      </c>
      <c r="M89" s="12" t="str">
        <f>IF(Avaliação!Z91="","-",Avaliação!Z91)</f>
        <v>-</v>
      </c>
      <c r="N89" s="12" t="str">
        <f>IF(Avaliação!AB91="","-",Avaliação!AB91)</f>
        <v>-</v>
      </c>
      <c r="O89" s="12" t="str">
        <f>IF(Avaliação!AD91="","-",Avaliação!AD91)</f>
        <v>-</v>
      </c>
      <c r="P89" s="12" t="str">
        <f>IF(Avaliação!AF91="","-",Avaliação!AF91)</f>
        <v>-</v>
      </c>
    </row>
    <row r="90" spans="1:16">
      <c r="A90" s="34" t="str">
        <f>Avaliação!A92</f>
        <v>G. C. Ant. da Coxa(mm) - p1</v>
      </c>
      <c r="B90" s="147">
        <f>IF(Avaliação!D92="","-",Avaliação!D92)</f>
        <v>5.8</v>
      </c>
      <c r="C90" s="147">
        <f>IF(Avaliação!F92="","-",Avaliação!F92)</f>
        <v>5.5</v>
      </c>
      <c r="D90" s="147">
        <f>IF(Avaliação!H92="","-",Avaliação!H92)</f>
        <v>4.2</v>
      </c>
      <c r="E90" s="147">
        <f>IF(Avaliação!J92="","-",Avaliação!J92)</f>
        <v>3.6</v>
      </c>
      <c r="F90" s="147">
        <f>IF(Avaliação!L92="","-",Avaliação!L92)</f>
        <v>3.6</v>
      </c>
      <c r="G90" s="12" t="str">
        <f>IF(Avaliação!N92="","-",Avaliação!N92)</f>
        <v>-</v>
      </c>
      <c r="H90" s="147">
        <f>IF(Avaliação!P92="","-",Avaliação!P92)</f>
        <v>3.6</v>
      </c>
      <c r="I90" s="147">
        <f>IF(Avaliação!R92="","-",Avaliação!R92)</f>
        <v>3.9</v>
      </c>
      <c r="J90" s="12" t="str">
        <f>IF(Avaliação!T92="","-",Avaliação!T92)</f>
        <v>-</v>
      </c>
      <c r="K90" s="147">
        <f>IF(Avaliação!V92="","-",Avaliação!V92)</f>
        <v>3.6</v>
      </c>
      <c r="L90" s="12" t="str">
        <f>IF(Avaliação!X92="","-",Avaliação!X92)</f>
        <v>-</v>
      </c>
      <c r="M90" s="12" t="str">
        <f>IF(Avaliação!Z92="","-",Avaliação!Z92)</f>
        <v>-</v>
      </c>
      <c r="N90" s="12" t="str">
        <f>IF(Avaliação!AB92="","-",Avaliação!AB92)</f>
        <v>-</v>
      </c>
      <c r="O90" s="12" t="str">
        <f>IF(Avaliação!AD92="","-",Avaliação!AD92)</f>
        <v>-</v>
      </c>
      <c r="P90" s="12" t="str">
        <f>IF(Avaliação!AF92="","-",Avaliação!AF92)</f>
        <v>-</v>
      </c>
    </row>
    <row r="91" spans="1:16">
      <c r="A91" s="34" t="str">
        <f>Avaliação!A93</f>
        <v>G. C. Ant. da Coxa(mm) - p2</v>
      </c>
      <c r="B91" s="12" t="str">
        <f>IF(Avaliação!D93="","-",Avaliação!D93)</f>
        <v>-</v>
      </c>
      <c r="C91" s="12" t="str">
        <f>IF(Avaliação!F93="","-",Avaliação!F93)</f>
        <v>-</v>
      </c>
      <c r="D91" s="12" t="str">
        <f>IF(Avaliação!H93="","-",Avaliação!H93)</f>
        <v>-</v>
      </c>
      <c r="E91" s="12" t="str">
        <f>IF(Avaliação!J93="","-",Avaliação!J93)</f>
        <v>-</v>
      </c>
      <c r="F91" s="12" t="str">
        <f>IF(Avaliação!L93="","-",Avaliação!L93)</f>
        <v>-</v>
      </c>
      <c r="G91" s="12" t="str">
        <f>IF(Avaliação!N93="","-",Avaliação!N93)</f>
        <v>-</v>
      </c>
      <c r="H91" s="12" t="str">
        <f>IF(Avaliação!P93="","-",Avaliação!P93)</f>
        <v>-</v>
      </c>
      <c r="I91" s="12" t="str">
        <f>IF(Avaliação!R93="","-",Avaliação!R93)</f>
        <v>-</v>
      </c>
      <c r="J91" s="12" t="str">
        <f>IF(Avaliação!T93="","-",Avaliação!T93)</f>
        <v>-</v>
      </c>
      <c r="K91" s="12" t="str">
        <f>IF(Avaliação!V93="","-",Avaliação!V93)</f>
        <v>-</v>
      </c>
      <c r="L91" s="12" t="str">
        <f>IF(Avaliação!X93="","-",Avaliação!X93)</f>
        <v>-</v>
      </c>
      <c r="M91" s="12" t="str">
        <f>IF(Avaliação!Z93="","-",Avaliação!Z93)</f>
        <v>-</v>
      </c>
      <c r="N91" s="12" t="str">
        <f>IF(Avaliação!AB93="","-",Avaliação!AB93)</f>
        <v>-</v>
      </c>
      <c r="O91" s="12" t="str">
        <f>IF(Avaliação!AD93="","-",Avaliação!AD93)</f>
        <v>-</v>
      </c>
      <c r="P91" s="12" t="str">
        <f>IF(Avaliação!AF93="","-",Avaliação!AF93)</f>
        <v>-</v>
      </c>
    </row>
    <row r="92" spans="1:16">
      <c r="A92" s="34" t="str">
        <f>Avaliação!A94</f>
        <v>G. C. Ant. da Coxa(mm) - p3</v>
      </c>
      <c r="B92" s="12" t="str">
        <f>IF(Avaliação!D94="","-",Avaliação!D94)</f>
        <v>-</v>
      </c>
      <c r="C92" s="12" t="str">
        <f>IF(Avaliação!F94="","-",Avaliação!F94)</f>
        <v>-</v>
      </c>
      <c r="D92" s="12" t="str">
        <f>IF(Avaliação!H94="","-",Avaliação!H94)</f>
        <v>-</v>
      </c>
      <c r="E92" s="12" t="str">
        <f>IF(Avaliação!J94="","-",Avaliação!J94)</f>
        <v>-</v>
      </c>
      <c r="F92" s="12" t="str">
        <f>IF(Avaliação!L94="","-",Avaliação!L94)</f>
        <v>-</v>
      </c>
      <c r="G92" s="12" t="str">
        <f>IF(Avaliação!N94="","-",Avaliação!N94)</f>
        <v>-</v>
      </c>
      <c r="H92" s="12" t="str">
        <f>IF(Avaliação!P94="","-",Avaliação!P94)</f>
        <v>-</v>
      </c>
      <c r="I92" s="12" t="str">
        <f>IF(Avaliação!R94="","-",Avaliação!R94)</f>
        <v>-</v>
      </c>
      <c r="J92" s="12" t="str">
        <f>IF(Avaliação!T94="","-",Avaliação!T94)</f>
        <v>-</v>
      </c>
      <c r="K92" s="12" t="str">
        <f>IF(Avaliação!V94="","-",Avaliação!V94)</f>
        <v>-</v>
      </c>
      <c r="L92" s="12" t="str">
        <f>IF(Avaliação!X94="","-",Avaliação!X94)</f>
        <v>-</v>
      </c>
      <c r="M92" s="12" t="str">
        <f>IF(Avaliação!Z94="","-",Avaliação!Z94)</f>
        <v>-</v>
      </c>
      <c r="N92" s="12" t="str">
        <f>IF(Avaliação!AB94="","-",Avaliação!AB94)</f>
        <v>-</v>
      </c>
      <c r="O92" s="12" t="str">
        <f>IF(Avaliação!AD94="","-",Avaliação!AD94)</f>
        <v>-</v>
      </c>
      <c r="P92" s="12" t="str">
        <f>IF(Avaliação!AF94="","-",Avaliação!AF94)</f>
        <v>-</v>
      </c>
    </row>
    <row r="93" spans="1:16">
      <c r="A93" s="34" t="str">
        <f>Avaliação!A95</f>
        <v>G. C. Ant. da Coxa(mm) - p4</v>
      </c>
      <c r="B93" s="12" t="str">
        <f>IF(Avaliação!D95="","-",Avaliação!D95)</f>
        <v>-</v>
      </c>
      <c r="C93" s="12" t="str">
        <f>IF(Avaliação!F95="","-",Avaliação!F95)</f>
        <v>-</v>
      </c>
      <c r="D93" s="12" t="str">
        <f>IF(Avaliação!H95="","-",Avaliação!H95)</f>
        <v>-</v>
      </c>
      <c r="E93" s="12" t="str">
        <f>IF(Avaliação!J95="","-",Avaliação!J95)</f>
        <v>-</v>
      </c>
      <c r="F93" s="12" t="str">
        <f>IF(Avaliação!L95="","-",Avaliação!L95)</f>
        <v>-</v>
      </c>
      <c r="G93" s="12" t="str">
        <f>IF(Avaliação!N95="","-",Avaliação!N95)</f>
        <v>-</v>
      </c>
      <c r="H93" s="12" t="str">
        <f>IF(Avaliação!P95="","-",Avaliação!P95)</f>
        <v>-</v>
      </c>
      <c r="I93" s="12" t="str">
        <f>IF(Avaliação!R95="","-",Avaliação!R95)</f>
        <v>-</v>
      </c>
      <c r="J93" s="12" t="str">
        <f>IF(Avaliação!T95="","-",Avaliação!T95)</f>
        <v>-</v>
      </c>
      <c r="K93" s="12" t="str">
        <f>IF(Avaliação!V95="","-",Avaliação!V95)</f>
        <v>-</v>
      </c>
      <c r="L93" s="12" t="str">
        <f>IF(Avaliação!X95="","-",Avaliação!X95)</f>
        <v>-</v>
      </c>
      <c r="M93" s="12" t="str">
        <f>IF(Avaliação!Z95="","-",Avaliação!Z95)</f>
        <v>-</v>
      </c>
      <c r="N93" s="12" t="str">
        <f>IF(Avaliação!AB95="","-",Avaliação!AB95)</f>
        <v>-</v>
      </c>
      <c r="O93" s="12" t="str">
        <f>IF(Avaliação!AD95="","-",Avaliação!AD95)</f>
        <v>-</v>
      </c>
      <c r="P93" s="12" t="str">
        <f>IF(Avaliação!AF95="","-",Avaliação!AF95)</f>
        <v>-</v>
      </c>
    </row>
    <row r="94" spans="1:16">
      <c r="A94" s="34" t="str">
        <f>Avaliação!A96</f>
        <v>G. C. Ant. da Coxa(mm) - p5</v>
      </c>
      <c r="B94" s="12" t="str">
        <f>IF(Avaliação!D96="","-",Avaliação!D96)</f>
        <v>-</v>
      </c>
      <c r="C94" s="12" t="str">
        <f>IF(Avaliação!F96="","-",Avaliação!F96)</f>
        <v>-</v>
      </c>
      <c r="D94" s="12" t="str">
        <f>IF(Avaliação!H96="","-",Avaliação!H96)</f>
        <v>-</v>
      </c>
      <c r="E94" s="12" t="str">
        <f>IF(Avaliação!J96="","-",Avaliação!J96)</f>
        <v>-</v>
      </c>
      <c r="F94" s="12" t="str">
        <f>IF(Avaliação!L96="","-",Avaliação!L96)</f>
        <v>-</v>
      </c>
      <c r="G94" s="12" t="str">
        <f>IF(Avaliação!N96="","-",Avaliação!N96)</f>
        <v>-</v>
      </c>
      <c r="H94" s="12" t="str">
        <f>IF(Avaliação!P96="","-",Avaliação!P96)</f>
        <v>-</v>
      </c>
      <c r="I94" s="12" t="str">
        <f>IF(Avaliação!R96="","-",Avaliação!R96)</f>
        <v>-</v>
      </c>
      <c r="J94" s="12" t="str">
        <f>IF(Avaliação!T96="","-",Avaliação!T96)</f>
        <v>-</v>
      </c>
      <c r="K94" s="12" t="str">
        <f>IF(Avaliação!V96="","-",Avaliação!V96)</f>
        <v>-</v>
      </c>
      <c r="L94" s="12" t="str">
        <f>IF(Avaliação!X96="","-",Avaliação!X96)</f>
        <v>-</v>
      </c>
      <c r="M94" s="12" t="str">
        <f>IF(Avaliação!Z96="","-",Avaliação!Z96)</f>
        <v>-</v>
      </c>
      <c r="N94" s="12" t="str">
        <f>IF(Avaliação!AB96="","-",Avaliação!AB96)</f>
        <v>-</v>
      </c>
      <c r="O94" s="12" t="str">
        <f>IF(Avaliação!AD96="","-",Avaliação!AD96)</f>
        <v>-</v>
      </c>
      <c r="P94" s="12" t="str">
        <f>IF(Avaliação!AF96="","-",Avaliação!AF96)</f>
        <v>-</v>
      </c>
    </row>
    <row r="95" spans="1:16">
      <c r="A95" s="34" t="str">
        <f>Avaliação!A97</f>
        <v>G. C. Ant. da Coxa(mm) - p6</v>
      </c>
      <c r="B95" s="12" t="str">
        <f>IF(Avaliação!D97="","-",Avaliação!D97)</f>
        <v>-</v>
      </c>
      <c r="C95" s="12" t="str">
        <f>IF(Avaliação!F97="","-",Avaliação!F97)</f>
        <v>-</v>
      </c>
      <c r="D95" s="12" t="str">
        <f>IF(Avaliação!H97="","-",Avaliação!H97)</f>
        <v>-</v>
      </c>
      <c r="E95" s="12" t="str">
        <f>IF(Avaliação!J97="","-",Avaliação!J97)</f>
        <v>-</v>
      </c>
      <c r="F95" s="12" t="str">
        <f>IF(Avaliação!L97="","-",Avaliação!L97)</f>
        <v>-</v>
      </c>
      <c r="G95" s="12" t="str">
        <f>IF(Avaliação!N97="","-",Avaliação!N97)</f>
        <v>-</v>
      </c>
      <c r="H95" s="12" t="str">
        <f>IF(Avaliação!P97="","-",Avaliação!P97)</f>
        <v>-</v>
      </c>
      <c r="I95" s="12" t="str">
        <f>IF(Avaliação!R97="","-",Avaliação!R97)</f>
        <v>-</v>
      </c>
      <c r="J95" s="12" t="str">
        <f>IF(Avaliação!T97="","-",Avaliação!T97)</f>
        <v>-</v>
      </c>
      <c r="K95" s="12" t="str">
        <f>IF(Avaliação!V97="","-",Avaliação!V97)</f>
        <v>-</v>
      </c>
      <c r="L95" s="12" t="str">
        <f>IF(Avaliação!X97="","-",Avaliação!X97)</f>
        <v>-</v>
      </c>
      <c r="M95" s="12" t="str">
        <f>IF(Avaliação!Z97="","-",Avaliação!Z97)</f>
        <v>-</v>
      </c>
      <c r="N95" s="12" t="str">
        <f>IF(Avaliação!AB97="","-",Avaliação!AB97)</f>
        <v>-</v>
      </c>
      <c r="O95" s="12" t="str">
        <f>IF(Avaliação!AD97="","-",Avaliação!AD97)</f>
        <v>-</v>
      </c>
      <c r="P95" s="12" t="str">
        <f>IF(Avaliação!AF97="","-",Avaliação!AF97)</f>
        <v>-</v>
      </c>
    </row>
    <row r="96" spans="1:16">
      <c r="A96" s="34" t="str">
        <f>Avaliação!A98</f>
        <v>G. C. Ant. da Coxa(mm) - p7</v>
      </c>
      <c r="B96" s="12" t="str">
        <f>IF(Avaliação!D98="","-",Avaliação!D98)</f>
        <v>-</v>
      </c>
      <c r="C96" s="12" t="str">
        <f>IF(Avaliação!F98="","-",Avaliação!F98)</f>
        <v>-</v>
      </c>
      <c r="D96" s="12" t="str">
        <f>IF(Avaliação!H98="","-",Avaliação!H98)</f>
        <v>-</v>
      </c>
      <c r="E96" s="12" t="str">
        <f>IF(Avaliação!J98="","-",Avaliação!J98)</f>
        <v>-</v>
      </c>
      <c r="F96" s="12" t="str">
        <f>IF(Avaliação!L98="","-",Avaliação!L98)</f>
        <v>-</v>
      </c>
      <c r="G96" s="12" t="str">
        <f>IF(Avaliação!N98="","-",Avaliação!N98)</f>
        <v>-</v>
      </c>
      <c r="H96" s="12" t="str">
        <f>IF(Avaliação!P98="","-",Avaliação!P98)</f>
        <v>-</v>
      </c>
      <c r="I96" s="12" t="str">
        <f>IF(Avaliação!R98="","-",Avaliação!R98)</f>
        <v>-</v>
      </c>
      <c r="J96" s="12" t="str">
        <f>IF(Avaliação!T98="","-",Avaliação!T98)</f>
        <v>-</v>
      </c>
      <c r="K96" s="12" t="str">
        <f>IF(Avaliação!V98="","-",Avaliação!V98)</f>
        <v>-</v>
      </c>
      <c r="L96" s="12" t="str">
        <f>IF(Avaliação!X98="","-",Avaliação!X98)</f>
        <v>-</v>
      </c>
      <c r="M96" s="12" t="str">
        <f>IF(Avaliação!Z98="","-",Avaliação!Z98)</f>
        <v>-</v>
      </c>
      <c r="N96" s="12" t="str">
        <f>IF(Avaliação!AB98="","-",Avaliação!AB98)</f>
        <v>-</v>
      </c>
      <c r="O96" s="12" t="str">
        <f>IF(Avaliação!AD98="","-",Avaliação!AD98)</f>
        <v>-</v>
      </c>
      <c r="P96" s="12" t="str">
        <f>IF(Avaliação!AF98="","-",Avaliação!AF98)</f>
        <v>-</v>
      </c>
    </row>
    <row r="97" spans="1:16">
      <c r="A97" s="34" t="str">
        <f>Avaliação!A99</f>
        <v>G. C. Ant. da Coxa(mm) - p8</v>
      </c>
      <c r="B97" s="12" t="str">
        <f>IF(Avaliação!D99="","-",Avaliação!D99)</f>
        <v>-</v>
      </c>
      <c r="C97" s="12" t="str">
        <f>IF(Avaliação!F99="","-",Avaliação!F99)</f>
        <v>-</v>
      </c>
      <c r="D97" s="12" t="str">
        <f>IF(Avaliação!H99="","-",Avaliação!H99)</f>
        <v>-</v>
      </c>
      <c r="E97" s="12" t="str">
        <f>IF(Avaliação!J99="","-",Avaliação!J99)</f>
        <v>-</v>
      </c>
      <c r="F97" s="12" t="str">
        <f>IF(Avaliação!L99="","-",Avaliação!L99)</f>
        <v>-</v>
      </c>
      <c r="G97" s="12" t="str">
        <f>IF(Avaliação!N99="","-",Avaliação!N99)</f>
        <v>-</v>
      </c>
      <c r="H97" s="12" t="str">
        <f>IF(Avaliação!P99="","-",Avaliação!P99)</f>
        <v>-</v>
      </c>
      <c r="I97" s="12" t="str">
        <f>IF(Avaliação!R99="","-",Avaliação!R99)</f>
        <v>-</v>
      </c>
      <c r="J97" s="12" t="str">
        <f>IF(Avaliação!T99="","-",Avaliação!T99)</f>
        <v>-</v>
      </c>
      <c r="K97" s="12" t="str">
        <f>IF(Avaliação!V99="","-",Avaliação!V99)</f>
        <v>-</v>
      </c>
      <c r="L97" s="12" t="str">
        <f>IF(Avaliação!X99="","-",Avaliação!X99)</f>
        <v>-</v>
      </c>
      <c r="M97" s="12" t="str">
        <f>IF(Avaliação!Z99="","-",Avaliação!Z99)</f>
        <v>-</v>
      </c>
      <c r="N97" s="12" t="str">
        <f>IF(Avaliação!AB99="","-",Avaliação!AB99)</f>
        <v>-</v>
      </c>
      <c r="O97" s="12" t="str">
        <f>IF(Avaliação!AD99="","-",Avaliação!AD99)</f>
        <v>-</v>
      </c>
      <c r="P97" s="12" t="str">
        <f>IF(Avaliação!AF99="","-",Avaliação!AF99)</f>
        <v>-</v>
      </c>
    </row>
    <row r="98" spans="1:16">
      <c r="A98" s="34" t="str">
        <f>Avaliação!A100</f>
        <v>G. C. Ant. da Coxa(mm) - p9</v>
      </c>
      <c r="B98" s="12" t="str">
        <f>IF(Avaliação!D100="","-",Avaliação!D100)</f>
        <v>-</v>
      </c>
      <c r="C98" s="12" t="str">
        <f>IF(Avaliação!F100="","-",Avaliação!F100)</f>
        <v>-</v>
      </c>
      <c r="D98" s="12" t="str">
        <f>IF(Avaliação!H100="","-",Avaliação!H100)</f>
        <v>-</v>
      </c>
      <c r="E98" s="12" t="str">
        <f>IF(Avaliação!J100="","-",Avaliação!J100)</f>
        <v>-</v>
      </c>
      <c r="F98" s="12" t="str">
        <f>IF(Avaliação!L100="","-",Avaliação!L100)</f>
        <v>-</v>
      </c>
      <c r="G98" s="12" t="str">
        <f>IF(Avaliação!N100="","-",Avaliação!N100)</f>
        <v>-</v>
      </c>
      <c r="H98" s="12" t="str">
        <f>IF(Avaliação!P100="","-",Avaliação!P100)</f>
        <v>-</v>
      </c>
      <c r="I98" s="12" t="str">
        <f>IF(Avaliação!R100="","-",Avaliação!R100)</f>
        <v>-</v>
      </c>
      <c r="J98" s="12" t="str">
        <f>IF(Avaliação!T100="","-",Avaliação!T100)</f>
        <v>-</v>
      </c>
      <c r="K98" s="12" t="str">
        <f>IF(Avaliação!V100="","-",Avaliação!V100)</f>
        <v>-</v>
      </c>
      <c r="L98" s="12" t="str">
        <f>IF(Avaliação!X100="","-",Avaliação!X100)</f>
        <v>-</v>
      </c>
      <c r="M98" s="12" t="str">
        <f>IF(Avaliação!Z100="","-",Avaliação!Z100)</f>
        <v>-</v>
      </c>
      <c r="N98" s="12" t="str">
        <f>IF(Avaliação!AB100="","-",Avaliação!AB100)</f>
        <v>-</v>
      </c>
      <c r="O98" s="12" t="str">
        <f>IF(Avaliação!AD100="","-",Avaliação!AD100)</f>
        <v>-</v>
      </c>
      <c r="P98" s="12" t="str">
        <f>IF(Avaliação!AF100="","-",Avaliação!AF100)</f>
        <v>-</v>
      </c>
    </row>
    <row r="99" spans="1:16">
      <c r="A99" s="34" t="str">
        <f>Avaliação!A101</f>
        <v>Compartimento Anterior da Coxa(mm)</v>
      </c>
      <c r="B99" s="147">
        <f>IF(Avaliação!D101="","-",Avaliação!D101)</f>
        <v>5.8</v>
      </c>
      <c r="C99" s="147">
        <f>IF(Avaliação!F101="","-",Avaliação!F101)</f>
        <v>5.5</v>
      </c>
      <c r="D99" s="147">
        <f>IF(Avaliação!H101="","-",Avaliação!H101)</f>
        <v>4.2</v>
      </c>
      <c r="E99" s="147">
        <f>IF(Avaliação!J101="","-",Avaliação!J101)</f>
        <v>3.6</v>
      </c>
      <c r="F99" s="147">
        <f>IF(Avaliação!L101="","-",Avaliação!L101)</f>
        <v>3.6</v>
      </c>
      <c r="G99" s="12" t="str">
        <f>IF(Avaliação!N101="","-",Avaliação!N101)</f>
        <v>-</v>
      </c>
      <c r="H99" s="147">
        <f>IF(Avaliação!P101="","-",Avaliação!P101)</f>
        <v>3.6</v>
      </c>
      <c r="I99" s="147">
        <f>IF(Avaliação!R101="","-",Avaliação!R101)</f>
        <v>3.9</v>
      </c>
      <c r="J99" s="12" t="str">
        <f>IF(Avaliação!T101="","-",Avaliação!T101)</f>
        <v>-</v>
      </c>
      <c r="K99" s="147">
        <f>IF(Avaliação!V101="","-",Avaliação!V101)</f>
        <v>3.6</v>
      </c>
      <c r="L99" s="12" t="str">
        <f>IF(Avaliação!X101="","-",Avaliação!X101)</f>
        <v>-</v>
      </c>
      <c r="M99" s="12" t="str">
        <f>IF(Avaliação!Z101="","-",Avaliação!Z101)</f>
        <v>-</v>
      </c>
      <c r="N99" s="12" t="str">
        <f>IF(Avaliação!AB101="","-",Avaliação!AB101)</f>
        <v>-</v>
      </c>
      <c r="O99" s="12" t="str">
        <f>IF(Avaliação!AD101="","-",Avaliação!AD101)</f>
        <v>-</v>
      </c>
      <c r="P99" s="12" t="str">
        <f>IF(Avaliação!AF101="","-",Avaliação!AF101)</f>
        <v>-</v>
      </c>
    </row>
    <row r="100" spans="1:16">
      <c r="B100" s="12"/>
      <c r="C100" s="12"/>
      <c r="D100" s="12"/>
      <c r="E100" s="12"/>
      <c r="F100" s="12"/>
      <c r="G100" s="12"/>
      <c r="H100" s="12"/>
      <c r="I100" s="12"/>
      <c r="J100" s="12"/>
      <c r="K100" s="12"/>
      <c r="L100" s="12"/>
      <c r="M100" s="12"/>
      <c r="N100" s="12"/>
      <c r="O100" s="12"/>
      <c r="P100" s="12"/>
    </row>
    <row r="101" spans="1:16">
      <c r="A101" s="34" t="str">
        <f>Avaliação!A103</f>
        <v>M. Perna Direita</v>
      </c>
      <c r="B101" s="147">
        <f>IF(Avaliação!D103="","-",Avaliação!D103)</f>
        <v>9.16</v>
      </c>
      <c r="C101" s="147">
        <f>IF(Avaliação!F103="","-",Avaliação!F103)</f>
        <v>9.1199999999999992</v>
      </c>
      <c r="D101" s="147">
        <f>IF(Avaliação!H103="","-",Avaliação!H103)</f>
        <v>8.86</v>
      </c>
      <c r="E101" s="147">
        <f>IF(Avaliação!J103="","-",Avaliação!J103)</f>
        <v>9.27</v>
      </c>
      <c r="F101" s="147">
        <f>IF(Avaliação!L103="","-",Avaliação!L103)</f>
        <v>9.5399999999999991</v>
      </c>
      <c r="G101" s="147">
        <f>IF(Avaliação!N103="","-",Avaliação!N103)</f>
        <v>9.74</v>
      </c>
      <c r="H101" s="147">
        <f>IF(Avaliação!P103="","-",Avaliação!P103)</f>
        <v>10.199999999999999</v>
      </c>
      <c r="I101" s="147">
        <f>IF(Avaliação!R103="","-",Avaliação!R103)</f>
        <v>10.199999999999999</v>
      </c>
      <c r="J101" s="148">
        <f>IF(Avaliação!T103="","-",Avaliação!T103)</f>
        <v>9.8000000000000007</v>
      </c>
      <c r="K101" s="147">
        <f>IF(Avaliação!V103="","-",Avaliação!V103)</f>
        <v>9.8000000000000007</v>
      </c>
      <c r="L101" s="148">
        <f>IF(Avaliação!X103="","-",Avaliação!X103)</f>
        <v>9.9</v>
      </c>
      <c r="M101" s="147">
        <f>IF(Avaliação!Z103="","-",Avaliação!Z103)</f>
        <v>10</v>
      </c>
      <c r="N101" s="12" t="str">
        <f>IF(Avaliação!AB103="","-",Avaliação!AB103)</f>
        <v>-</v>
      </c>
      <c r="O101" s="12" t="str">
        <f>IF(Avaliação!AD103="","-",Avaliação!AD103)</f>
        <v>-</v>
      </c>
      <c r="P101" s="12" t="str">
        <f>IF(Avaliação!AF103="","-",Avaliação!AF103)</f>
        <v>-</v>
      </c>
    </row>
    <row r="102" spans="1:16">
      <c r="A102" s="34" t="str">
        <f>Avaliação!A104</f>
        <v>M. Perna Esquerda</v>
      </c>
      <c r="B102" s="147">
        <f>IF(Avaliação!D104="","-",Avaliação!D104)</f>
        <v>9.1300000000000008</v>
      </c>
      <c r="C102" s="147">
        <f>IF(Avaliação!F104="","-",Avaliação!F104)</f>
        <v>9.0399999999999991</v>
      </c>
      <c r="D102" s="147">
        <f>IF(Avaliação!H104="","-",Avaliação!H104)</f>
        <v>8.7899999999999991</v>
      </c>
      <c r="E102" s="147">
        <f>IF(Avaliação!J104="","-",Avaliação!J104)</f>
        <v>9.2100000000000009</v>
      </c>
      <c r="F102" s="147">
        <f>IF(Avaliação!L104="","-",Avaliação!L104)</f>
        <v>9.5299999999999994</v>
      </c>
      <c r="G102" s="147">
        <f>IF(Avaliação!N104="","-",Avaliação!N104)</f>
        <v>9.77</v>
      </c>
      <c r="H102" s="147">
        <f>IF(Avaliação!P104="","-",Avaliação!P104)</f>
        <v>10.199999999999999</v>
      </c>
      <c r="I102" s="147">
        <f>IF(Avaliação!R104="","-",Avaliação!R104)</f>
        <v>10.199999999999999</v>
      </c>
      <c r="J102" s="148">
        <f>IF(Avaliação!T104="","-",Avaliação!T104)</f>
        <v>9.8000000000000007</v>
      </c>
      <c r="K102" s="147">
        <f>IF(Avaliação!V104="","-",Avaliação!V104)</f>
        <v>9.8000000000000007</v>
      </c>
      <c r="L102" s="148">
        <f>IF(Avaliação!X104="","-",Avaliação!X104)</f>
        <v>9.9</v>
      </c>
      <c r="M102" s="147">
        <f>IF(Avaliação!Z104="","-",Avaliação!Z104)</f>
        <v>9.9</v>
      </c>
      <c r="N102" s="12" t="str">
        <f>IF(Avaliação!AB104="","-",Avaliação!AB104)</f>
        <v>-</v>
      </c>
      <c r="O102" s="12" t="str">
        <f>IF(Avaliação!AD104="","-",Avaliação!AD104)</f>
        <v>-</v>
      </c>
      <c r="P102" s="12" t="str">
        <f>IF(Avaliação!AF104="","-",Avaliação!AF104)</f>
        <v>-</v>
      </c>
    </row>
    <row r="103" spans="1:16">
      <c r="A103" s="34" t="str">
        <f>Avaliação!A105</f>
        <v>M. Braço Direito</v>
      </c>
      <c r="B103" s="147">
        <f>IF(Avaliação!D105="","-",Avaliação!D105)</f>
        <v>2.88</v>
      </c>
      <c r="C103" s="147">
        <f>IF(Avaliação!F105="","-",Avaliação!F105)</f>
        <v>2.83</v>
      </c>
      <c r="D103" s="147">
        <f>IF(Avaliação!H105="","-",Avaliação!H105)</f>
        <v>2.78</v>
      </c>
      <c r="E103" s="147">
        <f>IF(Avaliação!J105="","-",Avaliação!J105)</f>
        <v>3.11</v>
      </c>
      <c r="F103" s="147">
        <f>IF(Avaliação!L105="","-",Avaliação!L105)</f>
        <v>3.06</v>
      </c>
      <c r="G103" s="147">
        <f>IF(Avaliação!N105="","-",Avaliação!N105)</f>
        <v>2.98</v>
      </c>
      <c r="H103" s="147">
        <f>IF(Avaliação!P105="","-",Avaliação!P105)</f>
        <v>3.2</v>
      </c>
      <c r="I103" s="147">
        <f>IF(Avaliação!R105="","-",Avaliação!R105)</f>
        <v>3.2</v>
      </c>
      <c r="J103" s="148">
        <f>IF(Avaliação!T105="","-",Avaliação!T105)</f>
        <v>3.1</v>
      </c>
      <c r="K103" s="147">
        <f>IF(Avaliação!V105="","-",Avaliação!V105)</f>
        <v>3.1</v>
      </c>
      <c r="L103" s="148">
        <f>IF(Avaliação!X105="","-",Avaliação!X105)</f>
        <v>3.1</v>
      </c>
      <c r="M103" s="147">
        <f>IF(Avaliação!Z105="","-",Avaliação!Z105)</f>
        <v>3</v>
      </c>
      <c r="N103" s="12" t="str">
        <f>IF(Avaliação!AB105="","-",Avaliação!AB105)</f>
        <v>-</v>
      </c>
      <c r="O103" s="12" t="str">
        <f>IF(Avaliação!AD105="","-",Avaliação!AD105)</f>
        <v>-</v>
      </c>
      <c r="P103" s="12" t="str">
        <f>IF(Avaliação!AF105="","-",Avaliação!AF105)</f>
        <v>-</v>
      </c>
    </row>
    <row r="104" spans="1:16">
      <c r="A104" s="34" t="str">
        <f>Avaliação!A106</f>
        <v>M. Braço Esquerdo</v>
      </c>
      <c r="B104" s="147">
        <f>IF(Avaliação!D106="","-",Avaliação!D106)</f>
        <v>2.76</v>
      </c>
      <c r="C104" s="147">
        <f>IF(Avaliação!F106="","-",Avaliação!F106)</f>
        <v>2.79</v>
      </c>
      <c r="D104" s="147">
        <f>IF(Avaliação!H106="","-",Avaliação!H106)</f>
        <v>2.75</v>
      </c>
      <c r="E104" s="147">
        <f>IF(Avaliação!J106="","-",Avaliação!J106)</f>
        <v>2.98</v>
      </c>
      <c r="F104" s="147">
        <f>IF(Avaliação!L106="","-",Avaliação!L106)</f>
        <v>2.98</v>
      </c>
      <c r="G104" s="147">
        <f>IF(Avaliação!N106="","-",Avaliação!N106)</f>
        <v>2.97</v>
      </c>
      <c r="H104" s="147">
        <f>IF(Avaliação!P106="","-",Avaliação!P106)</f>
        <v>3.2</v>
      </c>
      <c r="I104" s="147">
        <f>IF(Avaliação!R106="","-",Avaliação!R106)</f>
        <v>3.2</v>
      </c>
      <c r="J104" s="148">
        <f>IF(Avaliação!T106="","-",Avaliação!T106)</f>
        <v>3.1</v>
      </c>
      <c r="K104" s="147">
        <f>IF(Avaliação!V106="","-",Avaliação!V106)</f>
        <v>3.1</v>
      </c>
      <c r="L104" s="148">
        <f>IF(Avaliação!X106="","-",Avaliação!X106)</f>
        <v>3.1</v>
      </c>
      <c r="M104" s="147">
        <f>IF(Avaliação!Z106="","-",Avaliação!Z106)</f>
        <v>3</v>
      </c>
      <c r="N104" s="12" t="str">
        <f>IF(Avaliação!AB106="","-",Avaliação!AB106)</f>
        <v>-</v>
      </c>
      <c r="O104" s="12" t="str">
        <f>IF(Avaliação!AD106="","-",Avaliação!AD106)</f>
        <v>-</v>
      </c>
      <c r="P104" s="12" t="str">
        <f>IF(Avaliação!AF106="","-",Avaliação!AF106)</f>
        <v>-</v>
      </c>
    </row>
    <row r="105" spans="1:16">
      <c r="A105" s="34" t="str">
        <f>Avaliação!A107</f>
        <v>M. Tronco</v>
      </c>
      <c r="B105" s="147">
        <f>IF(Avaliação!D107="","-",Avaliação!D107)</f>
        <v>23.9</v>
      </c>
      <c r="C105" s="147">
        <f>IF(Avaliação!F107="","-",Avaliação!F107)</f>
        <v>23.5</v>
      </c>
      <c r="D105" s="147">
        <f>IF(Avaliação!H107="","-",Avaliação!H107)</f>
        <v>23.1</v>
      </c>
      <c r="E105" s="147">
        <f>IF(Avaliação!J107="","-",Avaliação!J107)</f>
        <v>24.7</v>
      </c>
      <c r="F105" s="147">
        <f>IF(Avaliação!L107="","-",Avaliação!L107)</f>
        <v>24.6</v>
      </c>
      <c r="G105" s="147">
        <f>IF(Avaliação!N107="","-",Avaliação!N107)</f>
        <v>24.3</v>
      </c>
      <c r="H105" s="147">
        <f>IF(Avaliação!P107="","-",Avaliação!P107)</f>
        <v>31.9</v>
      </c>
      <c r="I105" s="147">
        <f>IF(Avaliação!R107="","-",Avaliação!R107)</f>
        <v>31.9</v>
      </c>
      <c r="J105" s="148">
        <f>IF(Avaliação!T107="","-",Avaliação!T107)</f>
        <v>31.7</v>
      </c>
      <c r="K105" s="147">
        <f>IF(Avaliação!V107="","-",Avaliação!V107)</f>
        <v>31.9</v>
      </c>
      <c r="L105" s="148">
        <f>IF(Avaliação!X107="","-",Avaliação!X107)</f>
        <v>31.9</v>
      </c>
      <c r="M105" s="147">
        <f>IF(Avaliação!Z107="","-",Avaliação!Z107)</f>
        <v>31.2</v>
      </c>
      <c r="N105" s="12" t="str">
        <f>IF(Avaliação!AB107="","-",Avaliação!AB107)</f>
        <v>-</v>
      </c>
      <c r="O105" s="12" t="str">
        <f>IF(Avaliação!AD107="","-",Avaliação!AD107)</f>
        <v>-</v>
      </c>
      <c r="P105" s="12" t="str">
        <f>IF(Avaliação!AF107="","-",Avaliação!AF107)</f>
        <v>-</v>
      </c>
    </row>
    <row r="106" spans="1:16">
      <c r="B106" s="12"/>
      <c r="C106" s="12"/>
      <c r="D106" s="12"/>
      <c r="E106" s="12"/>
      <c r="F106" s="12"/>
      <c r="G106" s="12"/>
      <c r="H106" s="12"/>
      <c r="I106" s="12"/>
      <c r="J106" s="12"/>
      <c r="K106" s="12"/>
      <c r="L106" s="12"/>
      <c r="M106" s="12"/>
      <c r="N106" s="12"/>
      <c r="O106" s="12"/>
      <c r="P106" s="12"/>
    </row>
    <row r="107" spans="1:16">
      <c r="A107" s="34" t="str">
        <f>Avaliação!A109</f>
        <v>G. Perna Direita</v>
      </c>
      <c r="B107" s="147">
        <f>IF(Avaliação!D109="","-",Avaliação!D109)</f>
        <v>3.3</v>
      </c>
      <c r="C107" s="147">
        <f>IF(Avaliação!F109="","-",Avaliação!F109)</f>
        <v>2</v>
      </c>
      <c r="D107" s="147">
        <f>IF(Avaliação!H109="","-",Avaliação!H109)</f>
        <v>1.4</v>
      </c>
      <c r="E107" s="147">
        <f>IF(Avaliação!J109="","-",Avaliação!J109)</f>
        <v>1.1000000000000001</v>
      </c>
      <c r="F107" s="147">
        <f>IF(Avaliação!L109="","-",Avaliação!L109)</f>
        <v>1.5</v>
      </c>
      <c r="G107" s="147">
        <f>IF(Avaliação!N109="","-",Avaliação!N109)</f>
        <v>1.3</v>
      </c>
      <c r="H107" s="147">
        <f>IF(Avaliação!P109="","-",Avaliação!P109)</f>
        <v>1.1499999999999999</v>
      </c>
      <c r="I107" s="147">
        <f>IF(Avaliação!R109="","-",Avaliação!R109)</f>
        <v>1.1499999999999999</v>
      </c>
      <c r="J107" s="148">
        <f>IF(Avaliação!T109="","-",Avaliação!T109)</f>
        <v>1.5</v>
      </c>
      <c r="K107" s="148">
        <f>IF(Avaliação!V109="","-",Avaliação!V109)</f>
        <v>1.5</v>
      </c>
      <c r="L107" s="148">
        <f>IF(Avaliação!X109="","-",Avaliação!X109)</f>
        <v>1.3</v>
      </c>
      <c r="M107" s="147">
        <f>IF(Avaliação!Z109="","-",Avaliação!Z109)</f>
        <v>1.5</v>
      </c>
      <c r="N107" s="12" t="str">
        <f>IF(Avaliação!AB109="","-",Avaliação!AB109)</f>
        <v>-</v>
      </c>
      <c r="O107" s="12" t="str">
        <f>IF(Avaliação!AD109="","-",Avaliação!AD109)</f>
        <v>-</v>
      </c>
      <c r="P107" s="12" t="str">
        <f>IF(Avaliação!AF109="","-",Avaliação!AF109)</f>
        <v>-</v>
      </c>
    </row>
    <row r="108" spans="1:16">
      <c r="A108" s="34" t="str">
        <f>Avaliação!A110</f>
        <v>G. Perna Esquerda</v>
      </c>
      <c r="B108" s="147">
        <f>IF(Avaliação!D110="","-",Avaliação!D110)</f>
        <v>3.3</v>
      </c>
      <c r="C108" s="147">
        <f>IF(Avaliação!F110="","-",Avaliação!F110)</f>
        <v>2</v>
      </c>
      <c r="D108" s="147">
        <f>IF(Avaliação!H110="","-",Avaliação!H110)</f>
        <v>1.4</v>
      </c>
      <c r="E108" s="147">
        <f>IF(Avaliação!J110="","-",Avaliação!J110)</f>
        <v>1.1000000000000001</v>
      </c>
      <c r="F108" s="147">
        <f>IF(Avaliação!L110="","-",Avaliação!L110)</f>
        <v>1.5</v>
      </c>
      <c r="G108" s="147">
        <f>IF(Avaliação!N110="","-",Avaliação!N110)</f>
        <v>1.3</v>
      </c>
      <c r="H108" s="147">
        <f>IF(Avaliação!P110="","-",Avaliação!P110)</f>
        <v>1.05</v>
      </c>
      <c r="I108" s="147">
        <f>IF(Avaliação!R110="","-",Avaliação!R110)</f>
        <v>1.05</v>
      </c>
      <c r="J108" s="148">
        <f>IF(Avaliação!T110="","-",Avaliação!T110)</f>
        <v>1.5</v>
      </c>
      <c r="K108" s="148">
        <f>IF(Avaliação!V110="","-",Avaliação!V110)</f>
        <v>1.5</v>
      </c>
      <c r="L108" s="148">
        <f>IF(Avaliação!X110="","-",Avaliação!X110)</f>
        <v>1.4</v>
      </c>
      <c r="M108" s="147">
        <f>IF(Avaliação!Z110="","-",Avaliação!Z110)</f>
        <v>1.55</v>
      </c>
      <c r="N108" s="12" t="str">
        <f>IF(Avaliação!AB110="","-",Avaliação!AB110)</f>
        <v>-</v>
      </c>
      <c r="O108" s="12" t="str">
        <f>IF(Avaliação!AD110="","-",Avaliação!AD110)</f>
        <v>-</v>
      </c>
      <c r="P108" s="12" t="str">
        <f>IF(Avaliação!AF110="","-",Avaliação!AF110)</f>
        <v>-</v>
      </c>
    </row>
    <row r="109" spans="1:16">
      <c r="A109" s="34" t="str">
        <f>Avaliação!A111</f>
        <v>G. Braço Direito</v>
      </c>
      <c r="B109" s="147">
        <f>IF(Avaliação!D111="","-",Avaliação!D111)</f>
        <v>1.3</v>
      </c>
      <c r="C109" s="147">
        <f>IF(Avaliação!F111="","-",Avaliação!F111)</f>
        <v>0.6</v>
      </c>
      <c r="D109" s="147">
        <f>IF(Avaliação!H111="","-",Avaliação!H111)</f>
        <v>0.4</v>
      </c>
      <c r="E109" s="147">
        <f>IF(Avaliação!J111="","-",Avaliação!J111)</f>
        <v>0.2</v>
      </c>
      <c r="F109" s="147">
        <f>IF(Avaliação!L111="","-",Avaliação!L111)</f>
        <v>0.4</v>
      </c>
      <c r="G109" s="147">
        <f>IF(Avaliação!N111="","-",Avaliação!N111)</f>
        <v>0.3</v>
      </c>
      <c r="H109" s="147">
        <f>IF(Avaliação!P111="","-",Avaliação!P111)</f>
        <v>0.3</v>
      </c>
      <c r="I109" s="147">
        <f>IF(Avaliação!R111="","-",Avaliação!R111)</f>
        <v>0.35</v>
      </c>
      <c r="J109" s="148">
        <f>IF(Avaliação!T111="","-",Avaliação!T111)</f>
        <v>0.65</v>
      </c>
      <c r="K109" s="148">
        <f>IF(Avaliação!V111="","-",Avaliação!V111)</f>
        <v>0.65</v>
      </c>
      <c r="L109" s="148">
        <f>IF(Avaliação!X111="","-",Avaliação!X111)</f>
        <v>0.6</v>
      </c>
      <c r="M109" s="147">
        <f>IF(Avaliação!Z111="","-",Avaliação!Z111)</f>
        <v>0.7</v>
      </c>
      <c r="N109" s="12" t="str">
        <f>IF(Avaliação!AB111="","-",Avaliação!AB111)</f>
        <v>-</v>
      </c>
      <c r="O109" s="12" t="str">
        <f>IF(Avaliação!AD111="","-",Avaliação!AD111)</f>
        <v>-</v>
      </c>
      <c r="P109" s="12" t="str">
        <f>IF(Avaliação!AF111="","-",Avaliação!AF111)</f>
        <v>-</v>
      </c>
    </row>
    <row r="110" spans="1:16">
      <c r="A110" s="34" t="str">
        <f>Avaliação!A112</f>
        <v>G. Braço Esquerdo</v>
      </c>
      <c r="B110" s="147">
        <f>IF(Avaliação!D112="","-",Avaliação!D112)</f>
        <v>1.3</v>
      </c>
      <c r="C110" s="147">
        <f>IF(Avaliação!F112="","-",Avaliação!F112)</f>
        <v>0.6</v>
      </c>
      <c r="D110" s="147">
        <f>IF(Avaliação!H112="","-",Avaliação!H112)</f>
        <v>0.4</v>
      </c>
      <c r="E110" s="147">
        <f>IF(Avaliação!J112="","-",Avaliação!J112)</f>
        <v>0.3</v>
      </c>
      <c r="F110" s="147">
        <f>IF(Avaliação!L112="","-",Avaliação!L112)</f>
        <v>0.4</v>
      </c>
      <c r="G110" s="147">
        <f>IF(Avaliação!N112="","-",Avaliação!N112)</f>
        <v>0.3</v>
      </c>
      <c r="H110" s="147">
        <f>IF(Avaliação!P112="","-",Avaliação!P112)</f>
        <v>0.3</v>
      </c>
      <c r="I110" s="147">
        <f>IF(Avaliação!R112="","-",Avaliação!R112)</f>
        <v>0.4</v>
      </c>
      <c r="J110" s="148">
        <f>IF(Avaliação!T112="","-",Avaliação!T112)</f>
        <v>0.65</v>
      </c>
      <c r="K110" s="148">
        <f>IF(Avaliação!V112="","-",Avaliação!V112)</f>
        <v>0.65</v>
      </c>
      <c r="L110" s="148">
        <f>IF(Avaliação!X112="","-",Avaliação!X112)</f>
        <v>0.65</v>
      </c>
      <c r="M110" s="147">
        <f>IF(Avaliação!Z112="","-",Avaliação!Z112)</f>
        <v>0.75</v>
      </c>
      <c r="N110" s="12" t="str">
        <f>IF(Avaliação!AB112="","-",Avaliação!AB112)</f>
        <v>-</v>
      </c>
      <c r="O110" s="12" t="str">
        <f>IF(Avaliação!AD112="","-",Avaliação!AD112)</f>
        <v>-</v>
      </c>
      <c r="P110" s="12" t="str">
        <f>IF(Avaliação!AF112="","-",Avaliação!AF112)</f>
        <v>-</v>
      </c>
    </row>
    <row r="111" spans="1:16">
      <c r="A111" s="34" t="str">
        <f>Avaliação!A113</f>
        <v>G. Tronco</v>
      </c>
      <c r="B111" s="147">
        <f>IF(Avaliação!D113="","-",Avaliação!D113)</f>
        <v>10.5</v>
      </c>
      <c r="C111" s="147">
        <f>IF(Avaliação!F113="","-",Avaliação!F113)</f>
        <v>5.8</v>
      </c>
      <c r="D111" s="147">
        <f>IF(Avaliação!H113="","-",Avaliação!H113)</f>
        <v>3.4</v>
      </c>
      <c r="E111" s="147">
        <f>IF(Avaliação!J113="","-",Avaliação!J113)</f>
        <v>2.4</v>
      </c>
      <c r="F111" s="147">
        <f>IF(Avaliação!L113="","-",Avaliação!L113)</f>
        <v>3.9</v>
      </c>
      <c r="G111" s="147">
        <f>IF(Avaliação!N113="","-",Avaliação!N113)</f>
        <v>3.2</v>
      </c>
      <c r="H111" s="147">
        <f>IF(Avaliação!P113="","-",Avaliação!P113)</f>
        <v>3.2</v>
      </c>
      <c r="I111" s="147">
        <f>IF(Avaliação!R113="","-",Avaliação!R113)</f>
        <v>5.95</v>
      </c>
      <c r="J111" s="148">
        <f>IF(Avaliação!T113="","-",Avaliação!T113)</f>
        <v>7.3</v>
      </c>
      <c r="K111" s="148">
        <f>IF(Avaliação!V113="","-",Avaliação!V113)</f>
        <v>7.2</v>
      </c>
      <c r="L111" s="148">
        <f>IF(Avaliação!X113="","-",Avaliação!X113)</f>
        <v>6.95</v>
      </c>
      <c r="M111" s="147">
        <f>IF(Avaliação!Z113="","-",Avaliação!Z113)</f>
        <v>8.6</v>
      </c>
      <c r="N111" s="12" t="str">
        <f>IF(Avaliação!AB113="","-",Avaliação!AB113)</f>
        <v>-</v>
      </c>
      <c r="O111" s="12" t="str">
        <f>IF(Avaliação!AD113="","-",Avaliação!AD113)</f>
        <v>-</v>
      </c>
      <c r="P111" s="12" t="str">
        <f>IF(Avaliação!AF113="","-",Avaliação!AF113)</f>
        <v>-</v>
      </c>
    </row>
    <row r="112" spans="1:16">
      <c r="B112" s="12"/>
      <c r="C112" s="12"/>
      <c r="D112" s="12"/>
      <c r="E112" s="12"/>
      <c r="F112" s="12"/>
      <c r="G112" s="12"/>
      <c r="H112" s="12"/>
      <c r="I112" s="12"/>
      <c r="J112" s="12"/>
      <c r="K112" s="12"/>
      <c r="L112" s="12"/>
      <c r="M112" s="12"/>
      <c r="N112" s="12"/>
      <c r="O112" s="12"/>
      <c r="P112" s="12"/>
    </row>
    <row r="113" spans="1:16">
      <c r="A113" s="34" t="str">
        <f>Avaliação!A115</f>
        <v>Perímetro Abdominal</v>
      </c>
      <c r="B113" s="147">
        <f>IF(Avaliação!D115="","-",Avaliação!D115)</f>
        <v>88.5</v>
      </c>
      <c r="C113" s="147">
        <f>IF(Avaliação!F115="","-",Avaliação!F115)</f>
        <v>71.5</v>
      </c>
      <c r="D113" s="147">
        <f>IF(Avaliação!H115="","-",Avaliação!H115)</f>
        <v>73.5</v>
      </c>
      <c r="E113" s="147">
        <f>IF(Avaliação!J115="","-",Avaliação!J115)</f>
        <v>74.5</v>
      </c>
      <c r="F113" s="147">
        <f>IF(Avaliação!L115="","-",Avaliação!L115)</f>
        <v>77.5</v>
      </c>
      <c r="G113" s="147">
        <f>IF(Avaliação!N115="","-",Avaliação!N115)</f>
        <v>76</v>
      </c>
      <c r="H113" s="147">
        <f>IF(Avaliação!P115="","-",Avaliação!P115)</f>
        <v>77</v>
      </c>
      <c r="I113" s="147">
        <f>IF(Avaliação!R115="","-",Avaliação!R115)</f>
        <v>79</v>
      </c>
      <c r="J113" s="147">
        <f>IF(Avaliação!T115="","-",Avaliação!T115)</f>
        <v>77.5</v>
      </c>
      <c r="K113" s="147">
        <f>IF(Avaliação!V115="","-",Avaliação!V115)</f>
        <v>78</v>
      </c>
      <c r="L113" s="147">
        <f>IF(Avaliação!X115="","-",Avaliação!X115)</f>
        <v>76</v>
      </c>
      <c r="M113" s="147">
        <f>IF(Avaliação!Z115="","-",Avaliação!Z115)</f>
        <v>78</v>
      </c>
      <c r="N113" s="12">
        <f>IF(Avaliação!AB115="","-",Avaliação!AB115)</f>
        <v>0</v>
      </c>
      <c r="O113" s="12">
        <f>IF(Avaliação!AD115="","-",Avaliação!AD115)</f>
        <v>0</v>
      </c>
      <c r="P113" s="12">
        <f>IF(Avaliação!AF115="","-",Avaliação!AF115)</f>
        <v>0</v>
      </c>
    </row>
    <row r="114" spans="1:16">
      <c r="A114" s="34" t="str">
        <f>Avaliação!A116</f>
        <v>Relação Abdome - Quadril</v>
      </c>
      <c r="B114" s="148">
        <f>IF(Avaliação!D116="","-",Avaliação!D116)</f>
        <v>0.94148936170212771</v>
      </c>
      <c r="C114" s="148">
        <f>IF(Avaliação!F116="","-",Avaliação!F116)</f>
        <v>0.8125</v>
      </c>
      <c r="D114" s="148">
        <f>IF(Avaliação!H116="","-",Avaliação!H116)</f>
        <v>0.86470588235294121</v>
      </c>
      <c r="E114" s="148">
        <f>IF(Avaliação!J116="","-",Avaliação!J116)</f>
        <v>0.86627906976744184</v>
      </c>
      <c r="F114" s="148">
        <f>IF(Avaliação!L116="","-",Avaliação!L116)</f>
        <v>0.87570621468926557</v>
      </c>
      <c r="G114" s="148">
        <f>IF(Avaliação!N116="","-",Avaliação!N116)</f>
        <v>0.86363636363636365</v>
      </c>
      <c r="H114" s="148">
        <f>IF(Avaliação!P116="","-",Avaliação!P116)</f>
        <v>0.8651685393258427</v>
      </c>
      <c r="I114" s="148">
        <f>IF(Avaliação!R116="","-",Avaliação!R116)</f>
        <v>0.87777777777777777</v>
      </c>
      <c r="J114" s="148">
        <f>IF(Avaliação!T116="","-",Avaliação!T116)</f>
        <v>0.8707865168539326</v>
      </c>
      <c r="K114" s="148">
        <f>IF(Avaliação!V116="","-",Avaliação!V116)</f>
        <v>0.88135593220338981</v>
      </c>
      <c r="L114" s="148">
        <f>IF(Avaliação!X116="","-",Avaliação!X116)</f>
        <v>0.8539325842696629</v>
      </c>
      <c r="M114" s="148">
        <f>IF(Avaliação!Z116="","-",Avaliação!Z116)</f>
        <v>0.8764044943820225</v>
      </c>
      <c r="N114" s="12" t="str">
        <f>IF(Avaliação!AB116="","-",Avaliação!AB116)</f>
        <v>-</v>
      </c>
      <c r="O114" s="12" t="str">
        <f>IF(Avaliação!AD116="","-",Avaliação!AD116)</f>
        <v>-</v>
      </c>
      <c r="P114" s="12" t="str">
        <f>IF(Avaliação!AF116="","-",Avaliação!AF116)</f>
        <v>-</v>
      </c>
    </row>
    <row r="115" spans="1:16">
      <c r="A115" s="34" t="str">
        <f>Avaliação!A117</f>
        <v>Risco Coronariano Atual</v>
      </c>
      <c r="B115" s="12" t="str">
        <f ca="1">IF(Avaliação!D117="","-",Avaliação!D117)</f>
        <v>Moderado</v>
      </c>
      <c r="C115" s="12" t="str">
        <f ca="1">IF(Avaliação!F117="","-",Avaliação!F117)</f>
        <v>Baixo</v>
      </c>
      <c r="D115" s="12" t="str">
        <f ca="1">IF(Avaliação!H117="","-",Avaliação!H117)</f>
        <v>Baixo</v>
      </c>
      <c r="E115" s="12" t="str">
        <f ca="1">IF(Avaliação!J117="","-",Avaliação!J117)</f>
        <v>Baixo</v>
      </c>
      <c r="F115" s="12" t="str">
        <f ca="1">IF(Avaliação!L117="","-",Avaliação!L117)</f>
        <v>Baixo</v>
      </c>
      <c r="G115" s="12" t="str">
        <f ca="1">IF(Avaliação!N117="","-",Avaliação!N117)</f>
        <v>Baixo</v>
      </c>
      <c r="H115" s="12" t="str">
        <f ca="1">IF(Avaliação!P117="","-",Avaliação!P117)</f>
        <v>Baixo</v>
      </c>
      <c r="I115" s="12" t="str">
        <f ca="1">IF(Avaliação!R117="","-",Avaliação!R117)</f>
        <v>Baixo</v>
      </c>
      <c r="J115" s="12" t="str">
        <f ca="1">IF(Avaliação!T117="","-",Avaliação!T117)</f>
        <v>Baixo</v>
      </c>
      <c r="K115" s="12" t="str">
        <f ca="1">IF(Avaliação!V117="","-",Avaliação!V117)</f>
        <v>Baixo</v>
      </c>
      <c r="L115" s="12" t="str">
        <f ca="1">IF(Avaliação!X117="","-",Avaliação!X117)</f>
        <v>Baixo</v>
      </c>
      <c r="M115" s="12" t="str">
        <f ca="1">IF(Avaliação!Z117="","-",Avaliação!Z117)</f>
        <v>Baixo</v>
      </c>
      <c r="N115" s="12" t="str">
        <f>IF(Avaliação!AB117="","-",Avaliação!AB117)</f>
        <v>-</v>
      </c>
      <c r="O115" s="12" t="str">
        <f>IF(Avaliação!AD117="","-",Avaliação!AD117)</f>
        <v>-</v>
      </c>
      <c r="P115" s="12" t="str">
        <f>IF(Avaliação!AF117="","-",Avaliação!AF117)</f>
        <v>-</v>
      </c>
    </row>
    <row r="116" spans="1:16">
      <c r="B116" s="12"/>
      <c r="C116" s="12"/>
      <c r="D116" s="12"/>
      <c r="E116" s="12"/>
      <c r="F116" s="12"/>
      <c r="G116" s="12"/>
      <c r="H116" s="12"/>
      <c r="I116" s="12"/>
      <c r="J116" s="12"/>
      <c r="K116" s="12"/>
      <c r="L116" s="12"/>
      <c r="M116" s="12"/>
      <c r="N116" s="12"/>
      <c r="O116" s="12"/>
      <c r="P116" s="12"/>
    </row>
    <row r="117" spans="1:16">
      <c r="A117" s="34" t="str">
        <f>Avaliação!A119</f>
        <v>RML Abdominal</v>
      </c>
      <c r="B117" s="147">
        <f>IF(Avaliação!D119="","-",Avaliação!D119)</f>
        <v>55</v>
      </c>
      <c r="C117" s="147">
        <f>IF(Avaliação!F119="","-",Avaliação!F119)</f>
        <v>60</v>
      </c>
      <c r="D117" s="147">
        <f>IF(Avaliação!H119="","-",Avaliação!H119)</f>
        <v>60</v>
      </c>
      <c r="E117" s="147">
        <f>IF(Avaliação!J119="","-",Avaliação!J119)</f>
        <v>60</v>
      </c>
      <c r="F117" s="147">
        <f>IF(Avaliação!L119="","-",Avaliação!L119)</f>
        <v>60</v>
      </c>
      <c r="G117" s="147">
        <f>IF(Avaliação!N119="","-",Avaliação!N119)</f>
        <v>60</v>
      </c>
      <c r="H117" s="147">
        <f>IF(Avaliação!P119="","-",Avaliação!P119)</f>
        <v>60</v>
      </c>
      <c r="I117" s="147">
        <f>IF(Avaliação!R119="","-",Avaliação!R119)</f>
        <v>60</v>
      </c>
      <c r="J117" s="147">
        <f>IF(Avaliação!T119="","-",Avaliação!T119)</f>
        <v>57</v>
      </c>
      <c r="K117" s="147">
        <f>IF(Avaliação!V119="","-",Avaliação!V119)</f>
        <v>56</v>
      </c>
      <c r="L117" s="12" t="str">
        <f>IF(Avaliação!X119="","-",Avaliação!X119)</f>
        <v>-</v>
      </c>
      <c r="M117" s="12" t="str">
        <f>IF(Avaliação!Z119="","-",Avaliação!Z119)</f>
        <v>-</v>
      </c>
      <c r="N117" s="12" t="str">
        <f>IF(Avaliação!AB119="","-",Avaliação!AB119)</f>
        <v>-</v>
      </c>
      <c r="O117" s="12" t="str">
        <f>IF(Avaliação!AD119="","-",Avaliação!AD119)</f>
        <v>-</v>
      </c>
      <c r="P117" s="12" t="str">
        <f>IF(Avaliação!AF119="","-",Avaliação!AF119)</f>
        <v>-</v>
      </c>
    </row>
    <row r="118" spans="1:16">
      <c r="A118" s="34" t="str">
        <f>Avaliação!A120</f>
        <v>Flexibilidade</v>
      </c>
      <c r="B118" s="147">
        <f>IF(Avaliação!D120="","-",Avaliação!D120)</f>
        <v>27.2</v>
      </c>
      <c r="C118" s="147">
        <f>IF(Avaliação!F120="","-",Avaliação!F120)</f>
        <v>31.5</v>
      </c>
      <c r="D118" s="147">
        <f>IF(Avaliação!H120="","-",Avaliação!H120)</f>
        <v>31.5</v>
      </c>
      <c r="E118" s="147">
        <f>IF(Avaliação!J120="","-",Avaliação!J120)</f>
        <v>31</v>
      </c>
      <c r="F118" s="147">
        <f>IF(Avaliação!L120="","-",Avaliação!L120)</f>
        <v>32</v>
      </c>
      <c r="G118" s="147">
        <f>IF(Avaliação!N120="","-",Avaliação!N120)</f>
        <v>32</v>
      </c>
      <c r="H118" s="147">
        <f>IF(Avaliação!P120="","-",Avaliação!P120)</f>
        <v>32</v>
      </c>
      <c r="I118" s="147">
        <f>IF(Avaliação!R120="","-",Avaliação!R120)</f>
        <v>32</v>
      </c>
      <c r="J118" s="147">
        <f>IF(Avaliação!T120="","-",Avaliação!T120)</f>
        <v>31</v>
      </c>
      <c r="K118" s="147">
        <f>IF(Avaliação!V120="","-",Avaliação!V120)</f>
        <v>31</v>
      </c>
      <c r="L118" s="12" t="str">
        <f>IF(Avaliação!X120="","-",Avaliação!X120)</f>
        <v>-</v>
      </c>
      <c r="M118" s="12" t="str">
        <f>IF(Avaliação!Z120="","-",Avaliação!Z120)</f>
        <v>-</v>
      </c>
      <c r="N118" s="12" t="str">
        <f>IF(Avaliação!AB120="","-",Avaliação!AB120)</f>
        <v>-</v>
      </c>
      <c r="O118" s="12" t="str">
        <f>IF(Avaliação!AD120="","-",Avaliação!AD120)</f>
        <v>-</v>
      </c>
      <c r="P118" s="12" t="str">
        <f>IF(Avaliação!AF120="","-",Avaliação!AF120)</f>
        <v>-</v>
      </c>
    </row>
    <row r="119" spans="1:16">
      <c r="A119" s="34" t="str">
        <f>Avaliação!A121</f>
        <v>R. Abdominal</v>
      </c>
      <c r="B119" s="12" t="str">
        <f ca="1">IF(Avaliação!D121="","-",Avaliação!D121)</f>
        <v>Excelente</v>
      </c>
      <c r="C119" s="12" t="str">
        <f ca="1">IF(Avaliação!F121="","-",Avaliação!F121)</f>
        <v>Excelente</v>
      </c>
      <c r="D119" s="12" t="str">
        <f ca="1">IF(Avaliação!H121="","-",Avaliação!H121)</f>
        <v>Excelente</v>
      </c>
      <c r="E119" s="12" t="str">
        <f ca="1">IF(Avaliação!J121="","-",Avaliação!J121)</f>
        <v>Excelente</v>
      </c>
      <c r="F119" s="12" t="str">
        <f ca="1">IF(Avaliação!L121="","-",Avaliação!L121)</f>
        <v>Excelente</v>
      </c>
      <c r="G119" s="12" t="str">
        <f ca="1">IF(Avaliação!N121="","-",Avaliação!N121)</f>
        <v>Excelente</v>
      </c>
      <c r="H119" s="12" t="str">
        <f ca="1">IF(Avaliação!P121="","-",Avaliação!P121)</f>
        <v>Excelente</v>
      </c>
      <c r="I119" s="12" t="str">
        <f ca="1">IF(Avaliação!R121="","-",Avaliação!R121)</f>
        <v>Excelente</v>
      </c>
      <c r="J119" s="12" t="str">
        <f ca="1">IF(Avaliação!T121="","-",Avaliação!T121)</f>
        <v>Excelente</v>
      </c>
      <c r="K119" s="12" t="str">
        <f ca="1">IF(Avaliação!V121="","-",Avaliação!V121)</f>
        <v>Excelente</v>
      </c>
      <c r="L119" s="12" t="str">
        <f>IF(Avaliação!X121="","-",Avaliação!X121)</f>
        <v>-</v>
      </c>
      <c r="M119" s="12" t="str">
        <f>IF(Avaliação!Z121="","-",Avaliação!Z121)</f>
        <v>-</v>
      </c>
      <c r="N119" s="12" t="str">
        <f>IF(Avaliação!AB121="","-",Avaliação!AB121)</f>
        <v>-</v>
      </c>
      <c r="O119" s="12" t="str">
        <f>IF(Avaliação!AD121="","-",Avaliação!AD121)</f>
        <v>-</v>
      </c>
      <c r="P119" s="12" t="str">
        <f>IF(Avaliação!AF121="","-",Avaliação!AF121)</f>
        <v>-</v>
      </c>
    </row>
    <row r="120" spans="1:16">
      <c r="A120" s="34" t="str">
        <f>Avaliação!A122</f>
        <v>R. Flexibilidade</v>
      </c>
      <c r="B120" s="12" t="str">
        <f ca="1">IF(Avaliação!D122="","-",Avaliação!D122)</f>
        <v>Bom</v>
      </c>
      <c r="C120" s="12" t="str">
        <f ca="1">IF(Avaliação!F122="","-",Avaliação!F122)</f>
        <v>Acima da Média</v>
      </c>
      <c r="D120" s="12" t="str">
        <f ca="1">IF(Avaliação!H122="","-",Avaliação!H122)</f>
        <v>Acima da Média</v>
      </c>
      <c r="E120" s="12" t="str">
        <f ca="1">IF(Avaliação!J122="","-",Avaliação!J122)</f>
        <v>Acima da Média</v>
      </c>
      <c r="F120" s="12" t="str">
        <f ca="1">IF(Avaliação!L122="","-",Avaliação!L122)</f>
        <v>Acima da Média</v>
      </c>
      <c r="G120" s="12" t="str">
        <f ca="1">IF(Avaliação!N122="","-",Avaliação!N122)</f>
        <v>Acima da Média</v>
      </c>
      <c r="H120" s="12" t="str">
        <f ca="1">IF(Avaliação!P122="","-",Avaliação!P122)</f>
        <v>Acima da Média</v>
      </c>
      <c r="I120" s="12" t="str">
        <f ca="1">IF(Avaliação!R122="","-",Avaliação!R122)</f>
        <v>Acima da Média</v>
      </c>
      <c r="J120" s="12" t="str">
        <f ca="1">IF(Avaliação!T122="","-",Avaliação!T122)</f>
        <v>Acima da Média</v>
      </c>
      <c r="K120" s="12" t="str">
        <f ca="1">IF(Avaliação!V122="","-",Avaliação!V122)</f>
        <v>Acima da Média</v>
      </c>
      <c r="L120" s="12" t="str">
        <f>IF(Avaliação!X122="","-",Avaliação!X122)</f>
        <v>-</v>
      </c>
      <c r="M120" s="12" t="str">
        <f>IF(Avaliação!Z122="","-",Avaliação!Z122)</f>
        <v>-</v>
      </c>
      <c r="N120" s="12" t="str">
        <f>IF(Avaliação!AB122="","-",Avaliação!AB122)</f>
        <v>-</v>
      </c>
      <c r="O120" s="12" t="str">
        <f>IF(Avaliação!AD122="","-",Avaliação!AD122)</f>
        <v>-</v>
      </c>
      <c r="P120" s="12" t="str">
        <f>IF(Avaliação!AF122="","-",Avaliação!AF122)</f>
        <v>-</v>
      </c>
    </row>
    <row r="121" spans="1:16">
      <c r="B121" s="12"/>
      <c r="C121" s="12"/>
      <c r="D121" s="12"/>
      <c r="E121" s="12"/>
      <c r="F121" s="12"/>
      <c r="G121" s="12"/>
      <c r="H121" s="12"/>
      <c r="I121" s="12"/>
      <c r="J121" s="12"/>
      <c r="K121" s="12"/>
      <c r="L121" s="12"/>
      <c r="M121" s="12"/>
      <c r="N121" s="12"/>
      <c r="O121" s="12"/>
      <c r="P121" s="12"/>
    </row>
    <row r="122" spans="1:16">
      <c r="B122" s="12"/>
      <c r="C122" s="12"/>
      <c r="D122" s="12"/>
      <c r="E122" s="12"/>
      <c r="F122" s="12"/>
      <c r="G122" s="12"/>
      <c r="H122" s="12"/>
      <c r="I122" s="12"/>
      <c r="J122" s="12"/>
      <c r="K122" s="12"/>
      <c r="L122" s="12"/>
      <c r="M122" s="12"/>
      <c r="N122" s="12"/>
      <c r="O122" s="12"/>
      <c r="P122" s="12"/>
    </row>
    <row r="123" spans="1:16">
      <c r="B123" s="12"/>
      <c r="C123" s="12"/>
      <c r="D123" s="12"/>
      <c r="E123" s="12"/>
      <c r="F123" s="12"/>
      <c r="G123" s="12"/>
      <c r="H123" s="12"/>
      <c r="I123" s="12"/>
      <c r="J123" s="12"/>
      <c r="K123" s="12"/>
      <c r="L123" s="12"/>
      <c r="M123" s="12"/>
      <c r="N123" s="12"/>
      <c r="O123" s="12"/>
      <c r="P123" s="12"/>
    </row>
    <row r="124" spans="1:16">
      <c r="A124" s="34" t="str">
        <f>Avaliação!A126</f>
        <v>Supino Carga Teste</v>
      </c>
      <c r="B124" s="12" t="str">
        <f>IF(Avaliação!D126="","-",Avaliação!D126)</f>
        <v>-</v>
      </c>
      <c r="C124" s="12" t="str">
        <f>IF(Avaliação!F126="","-",Avaliação!F126)</f>
        <v>-</v>
      </c>
      <c r="D124" s="12" t="str">
        <f>IF(Avaliação!H126="","-",Avaliação!H126)</f>
        <v>-</v>
      </c>
      <c r="E124" s="12" t="str">
        <f>IF(Avaliação!J126="","-",Avaliação!J126)</f>
        <v>-</v>
      </c>
      <c r="F124" s="12" t="str">
        <f>IF(Avaliação!L126="","-",Avaliação!L126)</f>
        <v>-</v>
      </c>
      <c r="G124" s="12" t="str">
        <f>IF(Avaliação!N126="","-",Avaliação!N126)</f>
        <v>-</v>
      </c>
      <c r="H124" s="12" t="str">
        <f>IF(Avaliação!P126="","-",Avaliação!P126)</f>
        <v>-</v>
      </c>
      <c r="I124" s="12" t="str">
        <f>IF(Avaliação!R126="","-",Avaliação!R126)</f>
        <v>-</v>
      </c>
      <c r="J124" s="12" t="str">
        <f>IF(Avaliação!T126="","-",Avaliação!T126)</f>
        <v>-</v>
      </c>
      <c r="K124" s="12" t="str">
        <f>IF(Avaliação!V126="","-",Avaliação!V126)</f>
        <v>-</v>
      </c>
      <c r="L124" s="12" t="str">
        <f>IF(Avaliação!X126="","-",Avaliação!X126)</f>
        <v>-</v>
      </c>
      <c r="M124" s="12" t="str">
        <f>IF(Avaliação!Z126="","-",Avaliação!Z126)</f>
        <v>-</v>
      </c>
      <c r="N124" s="12" t="str">
        <f>IF(Avaliação!AB126="","-",Avaliação!AB126)</f>
        <v>-</v>
      </c>
      <c r="O124" s="12" t="str">
        <f>IF(Avaliação!AD126="","-",Avaliação!AD126)</f>
        <v>-</v>
      </c>
      <c r="P124" s="12" t="str">
        <f>IF(Avaliação!AF126="","-",Avaliação!AF126)</f>
        <v>-</v>
      </c>
    </row>
    <row r="125" spans="1:16">
      <c r="A125" s="34" t="str">
        <f>Avaliação!A127</f>
        <v>Supino Repetições</v>
      </c>
      <c r="B125" s="12" t="str">
        <f>IF(Avaliação!D127="","-",Avaliação!D127)</f>
        <v>-</v>
      </c>
      <c r="C125" s="12" t="str">
        <f>IF(Avaliação!F127="","-",Avaliação!F127)</f>
        <v>-</v>
      </c>
      <c r="D125" s="12" t="str">
        <f>IF(Avaliação!H127="","-",Avaliação!H127)</f>
        <v>-</v>
      </c>
      <c r="E125" s="12" t="str">
        <f>IF(Avaliação!J127="","-",Avaliação!J127)</f>
        <v>-</v>
      </c>
      <c r="F125" s="12" t="str">
        <f>IF(Avaliação!L127="","-",Avaliação!L127)</f>
        <v>-</v>
      </c>
      <c r="G125" s="12" t="str">
        <f>IF(Avaliação!N127="","-",Avaliação!N127)</f>
        <v>-</v>
      </c>
      <c r="H125" s="12" t="str">
        <f>IF(Avaliação!P127="","-",Avaliação!P127)</f>
        <v>-</v>
      </c>
      <c r="I125" s="12" t="str">
        <f>IF(Avaliação!R127="","-",Avaliação!R127)</f>
        <v>-</v>
      </c>
      <c r="J125" s="12" t="str">
        <f>IF(Avaliação!T127="","-",Avaliação!T127)</f>
        <v>-</v>
      </c>
      <c r="K125" s="12" t="str">
        <f>IF(Avaliação!V127="","-",Avaliação!V127)</f>
        <v>-</v>
      </c>
      <c r="L125" s="12" t="str">
        <f>IF(Avaliação!X127="","-",Avaliação!X127)</f>
        <v>-</v>
      </c>
      <c r="M125" s="12" t="str">
        <f>IF(Avaliação!Z127="","-",Avaliação!Z127)</f>
        <v>-</v>
      </c>
      <c r="N125" s="12" t="str">
        <f>IF(Avaliação!AB127="","-",Avaliação!AB127)</f>
        <v>-</v>
      </c>
      <c r="O125" s="12" t="str">
        <f>IF(Avaliação!AD127="","-",Avaliação!AD127)</f>
        <v>-</v>
      </c>
      <c r="P125" s="12" t="str">
        <f>IF(Avaliação!AF127="","-",Avaliação!AF127)</f>
        <v>-</v>
      </c>
    </row>
    <row r="126" spans="1:16">
      <c r="A126" s="34" t="str">
        <f>Avaliação!A128</f>
        <v>Leg Press Carga Teste</v>
      </c>
      <c r="B126" s="12" t="str">
        <f>IF(Avaliação!D128="","-",Avaliação!D128)</f>
        <v>-</v>
      </c>
      <c r="C126" s="12" t="str">
        <f>IF(Avaliação!F128="","-",Avaliação!F128)</f>
        <v>-</v>
      </c>
      <c r="D126" s="12" t="str">
        <f>IF(Avaliação!H128="","-",Avaliação!H128)</f>
        <v>-</v>
      </c>
      <c r="E126" s="12" t="str">
        <f>IF(Avaliação!J128="","-",Avaliação!J128)</f>
        <v>-</v>
      </c>
      <c r="F126" s="12" t="str">
        <f>IF(Avaliação!L128="","-",Avaliação!L128)</f>
        <v>-</v>
      </c>
      <c r="G126" s="12" t="str">
        <f>IF(Avaliação!N128="","-",Avaliação!N128)</f>
        <v>-</v>
      </c>
      <c r="H126" s="12" t="str">
        <f>IF(Avaliação!P128="","-",Avaliação!P128)</f>
        <v>-</v>
      </c>
      <c r="I126" s="12" t="str">
        <f>IF(Avaliação!R128="","-",Avaliação!R128)</f>
        <v>-</v>
      </c>
      <c r="J126" s="12" t="str">
        <f>IF(Avaliação!T128="","-",Avaliação!T128)</f>
        <v>-</v>
      </c>
      <c r="K126" s="12" t="str">
        <f>IF(Avaliação!V128="","-",Avaliação!V128)</f>
        <v>-</v>
      </c>
      <c r="L126" s="12" t="str">
        <f>IF(Avaliação!X128="","-",Avaliação!X128)</f>
        <v>-</v>
      </c>
      <c r="M126" s="12" t="str">
        <f>IF(Avaliação!Z128="","-",Avaliação!Z128)</f>
        <v>-</v>
      </c>
      <c r="N126" s="12" t="str">
        <f>IF(Avaliação!AB128="","-",Avaliação!AB128)</f>
        <v>-</v>
      </c>
      <c r="O126" s="12" t="str">
        <f>IF(Avaliação!AD128="","-",Avaliação!AD128)</f>
        <v>-</v>
      </c>
      <c r="P126" s="12" t="str">
        <f>IF(Avaliação!AF128="","-",Avaliação!AF128)</f>
        <v>-</v>
      </c>
    </row>
    <row r="127" spans="1:16">
      <c r="A127" s="34" t="str">
        <f>Avaliação!A129</f>
        <v>Leg Press Repetições</v>
      </c>
      <c r="B127" s="12" t="str">
        <f>IF(Avaliação!D129="","-",Avaliação!D129)</f>
        <v>-</v>
      </c>
      <c r="C127" s="12" t="str">
        <f>IF(Avaliação!F129="","-",Avaliação!F129)</f>
        <v>-</v>
      </c>
      <c r="D127" s="12" t="str">
        <f>IF(Avaliação!H129="","-",Avaliação!H129)</f>
        <v>-</v>
      </c>
      <c r="E127" s="12" t="str">
        <f>IF(Avaliação!J129="","-",Avaliação!J129)</f>
        <v>-</v>
      </c>
      <c r="F127" s="12" t="str">
        <f>IF(Avaliação!L129="","-",Avaliação!L129)</f>
        <v>-</v>
      </c>
      <c r="G127" s="12" t="str">
        <f>IF(Avaliação!N129="","-",Avaliação!N129)</f>
        <v>-</v>
      </c>
      <c r="H127" s="12" t="str">
        <f>IF(Avaliação!P129="","-",Avaliação!P129)</f>
        <v>-</v>
      </c>
      <c r="I127" s="12" t="str">
        <f>IF(Avaliação!R129="","-",Avaliação!R129)</f>
        <v>-</v>
      </c>
      <c r="J127" s="12" t="str">
        <f>IF(Avaliação!T129="","-",Avaliação!T129)</f>
        <v>-</v>
      </c>
      <c r="K127" s="12" t="str">
        <f>IF(Avaliação!V129="","-",Avaliação!V129)</f>
        <v>-</v>
      </c>
      <c r="L127" s="12" t="str">
        <f>IF(Avaliação!X129="","-",Avaliação!X129)</f>
        <v>-</v>
      </c>
      <c r="M127" s="12" t="str">
        <f>IF(Avaliação!Z129="","-",Avaliação!Z129)</f>
        <v>-</v>
      </c>
      <c r="N127" s="12" t="str">
        <f>IF(Avaliação!AB129="","-",Avaliação!AB129)</f>
        <v>-</v>
      </c>
      <c r="O127" s="12" t="str">
        <f>IF(Avaliação!AD129="","-",Avaliação!AD129)</f>
        <v>-</v>
      </c>
      <c r="P127" s="12" t="str">
        <f>IF(Avaliação!AF129="","-",Avaliação!AF129)</f>
        <v>-</v>
      </c>
    </row>
    <row r="128" spans="1:16">
      <c r="A128" s="34" t="str">
        <f>Avaliação!A130</f>
        <v>1RM - Supino Absoluto</v>
      </c>
      <c r="B128" s="12" t="str">
        <f>IF(Avaliação!D130="","-",Avaliação!D130)</f>
        <v>-</v>
      </c>
      <c r="C128" s="12" t="str">
        <f>IF(Avaliação!F130="","-",Avaliação!F130)</f>
        <v>-</v>
      </c>
      <c r="D128" s="12" t="str">
        <f>IF(Avaliação!H130="","-",Avaliação!H130)</f>
        <v>-</v>
      </c>
      <c r="E128" s="12" t="str">
        <f>IF(Avaliação!J130="","-",Avaliação!J130)</f>
        <v>-</v>
      </c>
      <c r="F128" s="12" t="str">
        <f>IF(Avaliação!L130="","-",Avaliação!L130)</f>
        <v>-</v>
      </c>
      <c r="G128" s="12" t="str">
        <f>IF(Avaliação!N130="","-",Avaliação!N130)</f>
        <v>-</v>
      </c>
      <c r="H128" s="12" t="str">
        <f>IF(Avaliação!P130="","-",Avaliação!P130)</f>
        <v>-</v>
      </c>
      <c r="I128" s="12" t="str">
        <f>IF(Avaliação!R130="","-",Avaliação!R130)</f>
        <v>-</v>
      </c>
      <c r="J128" s="12" t="str">
        <f>IF(Avaliação!T130="","-",Avaliação!T130)</f>
        <v>-</v>
      </c>
      <c r="K128" s="12" t="str">
        <f>IF(Avaliação!V130="","-",Avaliação!V130)</f>
        <v>-</v>
      </c>
      <c r="L128" s="12" t="str">
        <f>IF(Avaliação!X130="","-",Avaliação!X130)</f>
        <v>-</v>
      </c>
      <c r="M128" s="12" t="str">
        <f>IF(Avaliação!Z130="","-",Avaliação!Z130)</f>
        <v>-</v>
      </c>
      <c r="N128" s="12" t="str">
        <f>IF(Avaliação!AB130="","-",Avaliação!AB130)</f>
        <v>-</v>
      </c>
      <c r="O128" s="12" t="str">
        <f>IF(Avaliação!AD130="","-",Avaliação!AD130)</f>
        <v>-</v>
      </c>
      <c r="P128" s="12" t="str">
        <f>IF(Avaliação!AF130="","-",Avaliação!AF130)</f>
        <v>-</v>
      </c>
    </row>
    <row r="129" spans="1:16">
      <c r="A129" s="34" t="str">
        <f>Avaliação!A131</f>
        <v>1RM - Leg Press Absoluto</v>
      </c>
      <c r="B129" s="12" t="str">
        <f>IF(Avaliação!D131="","-",Avaliação!D131)</f>
        <v>-</v>
      </c>
      <c r="C129" s="12" t="str">
        <f>IF(Avaliação!F131="","-",Avaliação!F131)</f>
        <v>-</v>
      </c>
      <c r="D129" s="12" t="str">
        <f>IF(Avaliação!H131="","-",Avaliação!H131)</f>
        <v>-</v>
      </c>
      <c r="E129" s="12" t="str">
        <f>IF(Avaliação!J131="","-",Avaliação!J131)</f>
        <v>-</v>
      </c>
      <c r="F129" s="12" t="str">
        <f>IF(Avaliação!L131="","-",Avaliação!L131)</f>
        <v>-</v>
      </c>
      <c r="G129" s="12" t="str">
        <f>IF(Avaliação!N131="","-",Avaliação!N131)</f>
        <v>-</v>
      </c>
      <c r="H129" s="12" t="str">
        <f>IF(Avaliação!P131="","-",Avaliação!P131)</f>
        <v>-</v>
      </c>
      <c r="I129" s="12" t="str">
        <f>IF(Avaliação!R131="","-",Avaliação!R131)</f>
        <v>-</v>
      </c>
      <c r="J129" s="12" t="str">
        <f>IF(Avaliação!T131="","-",Avaliação!T131)</f>
        <v>-</v>
      </c>
      <c r="K129" s="12" t="str">
        <f>IF(Avaliação!V131="","-",Avaliação!V131)</f>
        <v>-</v>
      </c>
      <c r="L129" s="12" t="str">
        <f>IF(Avaliação!X131="","-",Avaliação!X131)</f>
        <v>-</v>
      </c>
      <c r="M129" s="12" t="str">
        <f>IF(Avaliação!Z131="","-",Avaliação!Z131)</f>
        <v>-</v>
      </c>
      <c r="N129" s="12" t="str">
        <f>IF(Avaliação!AB131="","-",Avaliação!AB131)</f>
        <v>-</v>
      </c>
      <c r="O129" s="12" t="str">
        <f>IF(Avaliação!AD131="","-",Avaliação!AD131)</f>
        <v>-</v>
      </c>
      <c r="P129" s="12" t="str">
        <f>IF(Avaliação!AF131="","-",Avaliação!AF131)</f>
        <v>-</v>
      </c>
    </row>
    <row r="130" spans="1:16">
      <c r="A130" s="34" t="str">
        <f>Avaliação!A132</f>
        <v>1RM - Supino Relativo</v>
      </c>
      <c r="B130" s="12" t="str">
        <f>IF(Avaliação!D132="","-",Avaliação!D132)</f>
        <v>-</v>
      </c>
      <c r="C130" s="12" t="str">
        <f>IF(Avaliação!F132="","-",Avaliação!F132)</f>
        <v>-</v>
      </c>
      <c r="D130" s="12" t="str">
        <f>IF(Avaliação!H132="","-",Avaliação!H132)</f>
        <v>-</v>
      </c>
      <c r="E130" s="12" t="str">
        <f>IF(Avaliação!J132="","-",Avaliação!J132)</f>
        <v>-</v>
      </c>
      <c r="F130" s="12" t="str">
        <f>IF(Avaliação!L132="","-",Avaliação!L132)</f>
        <v>-</v>
      </c>
      <c r="G130" s="12" t="str">
        <f>IF(Avaliação!N132="","-",Avaliação!N132)</f>
        <v>-</v>
      </c>
      <c r="H130" s="12" t="str">
        <f>IF(Avaliação!P132="","-",Avaliação!P132)</f>
        <v>-</v>
      </c>
      <c r="I130" s="12" t="str">
        <f>IF(Avaliação!R132="","-",Avaliação!R132)</f>
        <v>-</v>
      </c>
      <c r="J130" s="12" t="str">
        <f>IF(Avaliação!T132="","-",Avaliação!T132)</f>
        <v>-</v>
      </c>
      <c r="K130" s="12" t="str">
        <f>IF(Avaliação!V132="","-",Avaliação!V132)</f>
        <v>-</v>
      </c>
      <c r="L130" s="12" t="str">
        <f>IF(Avaliação!X132="","-",Avaliação!X132)</f>
        <v>-</v>
      </c>
      <c r="M130" s="12" t="str">
        <f>IF(Avaliação!Z132="","-",Avaliação!Z132)</f>
        <v>-</v>
      </c>
      <c r="N130" s="12" t="str">
        <f>IF(Avaliação!AB132="","-",Avaliação!AB132)</f>
        <v>-</v>
      </c>
      <c r="O130" s="12" t="str">
        <f>IF(Avaliação!AD132="","-",Avaliação!AD132)</f>
        <v>-</v>
      </c>
      <c r="P130" s="12" t="str">
        <f>IF(Avaliação!AF132="","-",Avaliação!AF132)</f>
        <v>-</v>
      </c>
    </row>
    <row r="131" spans="1:16">
      <c r="A131" s="34" t="str">
        <f>Avaliação!A133</f>
        <v>R. 1RM - Supino</v>
      </c>
      <c r="B131" s="12" t="e">
        <f>IF(Avaliação!D133="","-",Avaliação!D133)</f>
        <v>#VALUE!</v>
      </c>
      <c r="C131" s="12" t="e">
        <f>IF(Avaliação!F133="","-",Avaliação!F133)</f>
        <v>#VALUE!</v>
      </c>
      <c r="D131" s="12" t="e">
        <f>IF(Avaliação!H133="","-",Avaliação!H133)</f>
        <v>#VALUE!</v>
      </c>
      <c r="E131" s="12" t="e">
        <f>IF(Avaliação!J133="","-",Avaliação!J133)</f>
        <v>#VALUE!</v>
      </c>
      <c r="F131" s="12" t="e">
        <f>IF(Avaliação!L133="","-",Avaliação!L133)</f>
        <v>#VALUE!</v>
      </c>
      <c r="G131" s="12" t="e">
        <f>IF(Avaliação!N133="","-",Avaliação!N133)</f>
        <v>#VALUE!</v>
      </c>
      <c r="H131" s="12" t="e">
        <f>IF(Avaliação!P133="","-",Avaliação!P133)</f>
        <v>#VALUE!</v>
      </c>
      <c r="I131" s="12" t="e">
        <f>IF(Avaliação!R133="","-",Avaliação!R133)</f>
        <v>#VALUE!</v>
      </c>
      <c r="J131" s="12" t="e">
        <f>IF(Avaliação!T133="","-",Avaliação!T133)</f>
        <v>#VALUE!</v>
      </c>
      <c r="K131" s="12" t="e">
        <f>IF(Avaliação!V133="","-",Avaliação!V133)</f>
        <v>#VALUE!</v>
      </c>
      <c r="L131" s="12" t="e">
        <f>IF(Avaliação!X133="","-",Avaliação!X133)</f>
        <v>#VALUE!</v>
      </c>
      <c r="M131" s="12" t="e">
        <f>IF(Avaliação!Z133="","-",Avaliação!Z133)</f>
        <v>#VALUE!</v>
      </c>
      <c r="N131" s="12" t="e">
        <f>IF(Avaliação!AB133="","-",Avaliação!AB133)</f>
        <v>#VALUE!</v>
      </c>
      <c r="O131" s="12" t="e">
        <f>IF(Avaliação!AD133="","-",Avaliação!AD133)</f>
        <v>#VALUE!</v>
      </c>
      <c r="P131" s="12" t="e">
        <f>IF(Avaliação!AF133="","-",Avaliação!AF133)</f>
        <v>#VALUE!</v>
      </c>
    </row>
    <row r="132" spans="1:16">
      <c r="A132" s="34" t="str">
        <f>Avaliação!A134</f>
        <v>1RM - Leg Press Relativo</v>
      </c>
      <c r="B132" s="12" t="str">
        <f>IF(Avaliação!D134="","-",Avaliação!D134)</f>
        <v>-</v>
      </c>
      <c r="C132" s="12" t="str">
        <f>IF(Avaliação!F134="","-",Avaliação!F134)</f>
        <v>-</v>
      </c>
      <c r="D132" s="12" t="str">
        <f>IF(Avaliação!H134="","-",Avaliação!H134)</f>
        <v>-</v>
      </c>
      <c r="E132" s="12" t="str">
        <f>IF(Avaliação!J134="","-",Avaliação!J134)</f>
        <v>-</v>
      </c>
      <c r="F132" s="12" t="str">
        <f>IF(Avaliação!L134="","-",Avaliação!L134)</f>
        <v>-</v>
      </c>
      <c r="G132" s="12" t="str">
        <f>IF(Avaliação!N134="","-",Avaliação!N134)</f>
        <v>-</v>
      </c>
      <c r="H132" s="12" t="str">
        <f>IF(Avaliação!P134="","-",Avaliação!P134)</f>
        <v>-</v>
      </c>
      <c r="I132" s="12" t="str">
        <f>IF(Avaliação!R134="","-",Avaliação!R134)</f>
        <v>-</v>
      </c>
      <c r="J132" s="12" t="str">
        <f>IF(Avaliação!T134="","-",Avaliação!T134)</f>
        <v>-</v>
      </c>
      <c r="K132" s="12" t="str">
        <f>IF(Avaliação!V134="","-",Avaliação!V134)</f>
        <v>-</v>
      </c>
      <c r="L132" s="12" t="str">
        <f>IF(Avaliação!X134="","-",Avaliação!X134)</f>
        <v>-</v>
      </c>
      <c r="M132" s="12" t="str">
        <f>IF(Avaliação!Z134="","-",Avaliação!Z134)</f>
        <v>-</v>
      </c>
      <c r="N132" s="12" t="str">
        <f>IF(Avaliação!AB134="","-",Avaliação!AB134)</f>
        <v>-</v>
      </c>
      <c r="O132" s="12" t="str">
        <f>IF(Avaliação!AD134="","-",Avaliação!AD134)</f>
        <v>-</v>
      </c>
      <c r="P132" s="12" t="str">
        <f>IF(Avaliação!AF134="","-",Avaliação!AF134)</f>
        <v>-</v>
      </c>
    </row>
    <row r="133" spans="1:16">
      <c r="A133" s="34" t="str">
        <f>Avaliação!A135</f>
        <v>R. 1RM - Leg Press</v>
      </c>
      <c r="B133" s="12" t="e">
        <f>IF(Avaliação!D135="","-",Avaliação!D135)</f>
        <v>#VALUE!</v>
      </c>
      <c r="C133" s="12" t="e">
        <f>IF(Avaliação!F135="","-",Avaliação!F135)</f>
        <v>#VALUE!</v>
      </c>
      <c r="D133" s="12" t="e">
        <f>IF(Avaliação!H135="","-",Avaliação!H135)</f>
        <v>#VALUE!</v>
      </c>
      <c r="E133" s="12" t="e">
        <f>IF(Avaliação!J135="","-",Avaliação!J135)</f>
        <v>#VALUE!</v>
      </c>
      <c r="F133" s="12" t="e">
        <f>IF(Avaliação!L135="","-",Avaliação!L135)</f>
        <v>#VALUE!</v>
      </c>
      <c r="G133" s="12" t="e">
        <f>IF(Avaliação!N135="","-",Avaliação!N135)</f>
        <v>#VALUE!</v>
      </c>
      <c r="H133" s="12" t="e">
        <f>IF(Avaliação!P135="","-",Avaliação!P135)</f>
        <v>#VALUE!</v>
      </c>
      <c r="I133" s="12" t="e">
        <f>IF(Avaliação!R135="","-",Avaliação!R135)</f>
        <v>#VALUE!</v>
      </c>
      <c r="J133" s="12" t="e">
        <f>IF(Avaliação!T135="","-",Avaliação!T135)</f>
        <v>#VALUE!</v>
      </c>
      <c r="K133" s="12" t="e">
        <f>IF(Avaliação!V135="","-",Avaliação!V135)</f>
        <v>#VALUE!</v>
      </c>
      <c r="L133" s="12" t="e">
        <f>IF(Avaliação!X135="","-",Avaliação!X135)</f>
        <v>#VALUE!</v>
      </c>
      <c r="M133" s="12" t="e">
        <f>IF(Avaliação!Z135="","-",Avaliação!Z135)</f>
        <v>#VALUE!</v>
      </c>
      <c r="N133" s="12" t="e">
        <f>IF(Avaliação!AB135="","-",Avaliação!AB135)</f>
        <v>#VALUE!</v>
      </c>
      <c r="O133" s="12" t="e">
        <f>IF(Avaliação!AD135="","-",Avaliação!AD135)</f>
        <v>#VALUE!</v>
      </c>
      <c r="P133" s="12" t="e">
        <f>IF(Avaliação!AF135="","-",Avaliação!AF135)</f>
        <v>#VALUE!</v>
      </c>
    </row>
    <row r="134" spans="1:16">
      <c r="B134" s="12"/>
      <c r="C134" s="12"/>
      <c r="D134" s="12"/>
      <c r="E134" s="12"/>
      <c r="F134" s="12"/>
      <c r="G134" s="12"/>
      <c r="H134" s="12"/>
      <c r="I134" s="12"/>
      <c r="J134" s="12"/>
      <c r="K134" s="12"/>
      <c r="L134" s="12"/>
      <c r="M134" s="12"/>
      <c r="N134" s="12"/>
      <c r="O134" s="12"/>
      <c r="P134" s="12"/>
    </row>
    <row r="135" spans="1:16">
      <c r="B135" s="12"/>
      <c r="C135" s="12"/>
      <c r="D135" s="12"/>
      <c r="E135" s="12"/>
      <c r="F135" s="12"/>
      <c r="G135" s="12"/>
      <c r="H135" s="12"/>
      <c r="I135" s="12"/>
      <c r="J135" s="12"/>
      <c r="K135" s="12"/>
      <c r="L135" s="12"/>
      <c r="M135" s="12"/>
      <c r="N135" s="12"/>
      <c r="O135" s="12"/>
      <c r="P135" s="12"/>
    </row>
    <row r="136" spans="1:16">
      <c r="A136" s="34" t="str">
        <f>Avaliação!A139</f>
        <v>Protocolo</v>
      </c>
      <c r="B136" s="12" t="str">
        <f ca="1">IF(Avaliação!D139="","-",Avaliação!D139)</f>
        <v>-</v>
      </c>
      <c r="C136" s="12" t="str">
        <f ca="1">IF(Avaliação!F139="","-",Avaliação!F139)</f>
        <v>-</v>
      </c>
      <c r="D136" s="12" t="str">
        <f ca="1">IF(Avaliação!H139="","-",Avaliação!H139)</f>
        <v>-</v>
      </c>
      <c r="E136" s="12" t="str">
        <f ca="1">IF(Avaliação!J139="","-",Avaliação!J139)</f>
        <v>Teste de Esteira Progressiva</v>
      </c>
      <c r="F136" s="12" t="str">
        <f ca="1">IF(Avaliação!L139="","-",Avaliação!L139)</f>
        <v>Teste de Esteira Progressiva</v>
      </c>
      <c r="G136" s="12" t="str">
        <f ca="1">IF(Avaliação!N139="","-",Avaliação!N139)</f>
        <v>Teste de Esteira Progressiva</v>
      </c>
      <c r="H136" s="12" t="str">
        <f ca="1">IF(Avaliação!P139="","-",Avaliação!P139)</f>
        <v>Teste de Esteira Progressiva</v>
      </c>
      <c r="I136" s="12" t="str">
        <f ca="1">IF(Avaliação!R139="","-",Avaliação!R139)</f>
        <v>Teste de Esteira Progressiva</v>
      </c>
      <c r="J136" s="12" t="str">
        <f ca="1">IF(Avaliação!T139="","-",Avaliação!T139)</f>
        <v>Teste de Esteira Progressiva</v>
      </c>
      <c r="K136" s="12" t="str">
        <f ca="1">IF(Avaliação!V139="","-",Avaliação!V139)</f>
        <v>Teste de Esteira Progressiva</v>
      </c>
      <c r="L136" s="12" t="str">
        <f ca="1">IF(Avaliação!X139="","-",Avaliação!X139)</f>
        <v>-</v>
      </c>
      <c r="M136" s="12" t="str">
        <f ca="1">IF(Avaliação!Z139="","-",Avaliação!Z139)</f>
        <v>-</v>
      </c>
      <c r="N136" s="12" t="str">
        <f ca="1">IF(Avaliação!AB139="","-",Avaliação!AB139)</f>
        <v>-</v>
      </c>
      <c r="O136" s="12" t="str">
        <f ca="1">IF(Avaliação!AD139="","-",Avaliação!AD139)</f>
        <v>-</v>
      </c>
      <c r="P136" s="12" t="str">
        <f ca="1">IF(Avaliação!AF139="","-",Avaliação!AF139)</f>
        <v>-</v>
      </c>
    </row>
    <row r="137" spans="1:16">
      <c r="A137" s="34" t="str">
        <f>Avaliação!A140</f>
        <v>FC Repouso(bpm)</v>
      </c>
      <c r="B137" s="12">
        <f>IF(Avaliação!D140="","-",Avaliação!D140)</f>
        <v>52</v>
      </c>
      <c r="C137" s="12">
        <f>IF(Avaliação!F140="","-",Avaliação!F140)</f>
        <v>49</v>
      </c>
      <c r="D137" s="12">
        <f>IF(Avaliação!H140="","-",Avaliação!H140)</f>
        <v>52</v>
      </c>
      <c r="E137" s="12">
        <f ca="1">IF(Avaliação!J140="","-",Avaliação!J140)</f>
        <v>45</v>
      </c>
      <c r="F137" s="12">
        <f ca="1">IF(Avaliação!L140="","-",Avaliação!L140)</f>
        <v>60</v>
      </c>
      <c r="G137" s="12">
        <f ca="1">IF(Avaliação!N140="","-",Avaliação!N140)</f>
        <v>60</v>
      </c>
      <c r="H137" s="12">
        <f ca="1">IF(Avaliação!P140="","-",Avaliação!P140)</f>
        <v>64</v>
      </c>
      <c r="I137" s="12">
        <f ca="1">IF(Avaliação!R140="","-",Avaliação!R140)</f>
        <v>54</v>
      </c>
      <c r="J137" s="12">
        <f ca="1">IF(Avaliação!T140="","-",Avaliação!T140)</f>
        <v>48</v>
      </c>
      <c r="K137" s="12">
        <f ca="1">IF(Avaliação!V140="","-",Avaliação!V140)</f>
        <v>51</v>
      </c>
      <c r="L137" s="12" t="str">
        <f ca="1">IF(Avaliação!X140="","-",Avaliação!X140)</f>
        <v>-</v>
      </c>
      <c r="M137" s="12" t="str">
        <f ca="1">IF(Avaliação!Z140="","-",Avaliação!Z140)</f>
        <v>-</v>
      </c>
      <c r="N137" s="12" t="str">
        <f ca="1">IF(Avaliação!AB140="","-",Avaliação!AB140)</f>
        <v>-</v>
      </c>
      <c r="O137" s="12" t="str">
        <f ca="1">IF(Avaliação!AD140="","-",Avaliação!AD140)</f>
        <v>-</v>
      </c>
      <c r="P137" s="12" t="str">
        <f ca="1">IF(Avaliação!AF140="","-",Avaliação!AF140)</f>
        <v>-</v>
      </c>
    </row>
    <row r="138" spans="1:16">
      <c r="A138" s="34" t="str">
        <f>Avaliação!A141</f>
        <v>VO2Máximo (ml/kg/min)</v>
      </c>
      <c r="B138" s="12">
        <f>IF(Avaliação!D141="","-",Avaliação!D141)</f>
        <v>42.3</v>
      </c>
      <c r="C138" s="12">
        <f>IF(Avaliação!F141="","-",Avaliação!F141)</f>
        <v>51.4</v>
      </c>
      <c r="D138" s="12">
        <f>IF(Avaliação!H141="","-",Avaliação!H141)</f>
        <v>57.4</v>
      </c>
      <c r="E138" s="12">
        <f ca="1">IF(Avaliação!J141="","-",Avaliação!J141)</f>
        <v>56.6</v>
      </c>
      <c r="F138" s="12">
        <f ca="1">IF(Avaliação!L141="","-",Avaliação!L141)</f>
        <v>57.4</v>
      </c>
      <c r="G138" s="12">
        <f ca="1">IF(Avaliação!N141="","-",Avaliação!N141)</f>
        <v>60.46</v>
      </c>
      <c r="H138" s="12">
        <f ca="1">IF(Avaliação!P141="","-",Avaliação!P141)</f>
        <v>60.46</v>
      </c>
      <c r="I138" s="12">
        <f ca="1">IF(Avaliação!R141="","-",Avaliação!R141)</f>
        <v>57.44</v>
      </c>
      <c r="J138" s="148" t="e">
        <f ca="1">IF(Avaliação!T141="","-",Avaliação!T141)</f>
        <v>#NAME?</v>
      </c>
      <c r="K138" s="12">
        <f ca="1">IF(Avaliação!V141="","-",Avaliação!V141)</f>
        <v>60.46</v>
      </c>
      <c r="L138" s="12" t="str">
        <f ca="1">IF(Avaliação!X141="","-",Avaliação!X141)</f>
        <v>-</v>
      </c>
      <c r="M138" s="12" t="str">
        <f ca="1">IF(Avaliação!Z141="","-",Avaliação!Z141)</f>
        <v>-</v>
      </c>
      <c r="N138" s="12" t="str">
        <f ca="1">IF(Avaliação!AB141="","-",Avaliação!AB141)</f>
        <v>-</v>
      </c>
      <c r="O138" s="12" t="str">
        <f ca="1">IF(Avaliação!AD141="","-",Avaliação!AD141)</f>
        <v>-</v>
      </c>
      <c r="P138" s="12" t="str">
        <f ca="1">IF(Avaliação!AF141="","-",Avaliação!AF141)</f>
        <v>-</v>
      </c>
    </row>
    <row r="139" spans="1:16">
      <c r="A139" s="34" t="str">
        <f>Avaliação!A142</f>
        <v>R. VO2Máximo</v>
      </c>
      <c r="B139" s="12" t="str">
        <f>IF(Avaliação!D142="","-",Avaliação!D142)</f>
        <v>-</v>
      </c>
      <c r="C139" s="12" t="str">
        <f>IF(Avaliação!F142="","-",Avaliação!F142)</f>
        <v>-</v>
      </c>
      <c r="D139" s="12" t="str">
        <f>IF(Avaliação!H142="","-",Avaliação!H142)</f>
        <v>-</v>
      </c>
      <c r="E139" s="149" t="str">
        <f ca="1">IF(Avaliação!J142="","-",Avaliação!J142)</f>
        <v>Superior</v>
      </c>
      <c r="F139" s="149" t="str">
        <f ca="1">IF(Avaliação!L142="","-",Avaliação!L142)</f>
        <v>Superior</v>
      </c>
      <c r="G139" s="149" t="str">
        <f ca="1">IF(Avaliação!N142="","-",Avaliação!N142)</f>
        <v>Superior</v>
      </c>
      <c r="H139" s="149" t="str">
        <f ca="1">IF(Avaliação!P142="","-",Avaliação!P142)</f>
        <v>Superior</v>
      </c>
      <c r="I139" s="149" t="str">
        <f ca="1">IF(Avaliação!R142="","-",Avaliação!R142)</f>
        <v>Superior</v>
      </c>
      <c r="J139" s="149" t="e">
        <f ca="1">IF(Avaliação!T142="","-",Avaliação!T142)</f>
        <v>#NAME?</v>
      </c>
      <c r="K139" s="149" t="str">
        <f ca="1">IF(Avaliação!V142="","-",Avaliação!V142)</f>
        <v>Superior</v>
      </c>
      <c r="L139" s="12" t="str">
        <f>IF(Avaliação!X142="","-",Avaliação!X142)</f>
        <v>-</v>
      </c>
      <c r="M139" s="12" t="str">
        <f>IF(Avaliação!Z142="","-",Avaliação!Z142)</f>
        <v>-</v>
      </c>
      <c r="N139" s="12" t="str">
        <f>IF(Avaliação!AB142="","-",Avaliação!AB142)</f>
        <v>-</v>
      </c>
      <c r="O139" s="12" t="str">
        <f>IF(Avaliação!AD142="","-",Avaliação!AD142)</f>
        <v>-</v>
      </c>
      <c r="P139" s="12" t="str">
        <f>IF(Avaliação!AF142="","-",Avaliação!AF142)</f>
        <v>-</v>
      </c>
    </row>
    <row r="140" spans="1:16">
      <c r="A140" s="34" t="str">
        <f>Avaliação!A143</f>
        <v xml:space="preserve">Limiar Anaeróbico (bpm) </v>
      </c>
      <c r="B140" s="12">
        <f>IF(Avaliação!D143="","-",Avaliação!D143)</f>
        <v>147</v>
      </c>
      <c r="C140" s="12">
        <f>IF(Avaliação!F143="","-",Avaliação!F143)</f>
        <v>138.5</v>
      </c>
      <c r="D140" s="12">
        <f>IF(Avaliação!H143="","-",Avaliação!H143)</f>
        <v>137</v>
      </c>
      <c r="E140" s="12">
        <f ca="1">IF(Avaliação!J143="","-",Avaliação!J143)</f>
        <v>143</v>
      </c>
      <c r="F140" s="12">
        <f ca="1">IF(Avaliação!L143="","-",Avaliação!L143)</f>
        <v>148</v>
      </c>
      <c r="G140" s="149">
        <f ca="1">IF(Avaliação!N143="","-",Avaliação!N143)</f>
        <v>143.30000000000001</v>
      </c>
      <c r="H140" s="12">
        <f ca="1">IF(Avaliação!P143="","-",Avaliação!P143)</f>
        <v>155</v>
      </c>
      <c r="I140" s="12">
        <f ca="1">IF(Avaliação!R143="","-",Avaliação!R143)</f>
        <v>147</v>
      </c>
      <c r="J140" s="149">
        <f ca="1">IF(Avaliação!T143="","-",Avaliação!T143)</f>
        <v>135.55000000000001</v>
      </c>
      <c r="K140" s="12">
        <f ca="1">IF(Avaliação!V143="","-",Avaliação!V143)</f>
        <v>138</v>
      </c>
      <c r="L140" s="12" t="str">
        <f ca="1">IF(Avaliação!X143="","-",Avaliação!X143)</f>
        <v>-</v>
      </c>
      <c r="M140" s="12" t="str">
        <f ca="1">IF(Avaliação!Z143="","-",Avaliação!Z143)</f>
        <v>-</v>
      </c>
      <c r="N140" s="12" t="str">
        <f ca="1">IF(Avaliação!AB143="","-",Avaliação!AB143)</f>
        <v>-</v>
      </c>
      <c r="O140" s="12" t="str">
        <f ca="1">IF(Avaliação!AD143="","-",Avaliação!AD143)</f>
        <v>-</v>
      </c>
      <c r="P140" s="12" t="str">
        <f ca="1">IF(Avaliação!AF143="","-",Avaliação!AF143)</f>
        <v>-</v>
      </c>
    </row>
    <row r="141" spans="1:16">
      <c r="A141" s="34" t="str">
        <f>Avaliação!A144</f>
        <v xml:space="preserve">Limiar Anaeróbico (km/h) </v>
      </c>
      <c r="B141" s="12">
        <f>IF(Avaliação!D144="","-",Avaliação!D144)</f>
        <v>10</v>
      </c>
      <c r="C141" s="12">
        <f>IF(Avaliação!F144="","-",Avaliação!F144)</f>
        <v>13</v>
      </c>
      <c r="D141" s="12">
        <f>IF(Avaliação!H144="","-",Avaliação!H144)</f>
        <v>14</v>
      </c>
      <c r="E141" s="147" t="e">
        <f ca="1">IF(Avaliação!J144="","-",Avaliação!J144)</f>
        <v>#NAME?</v>
      </c>
      <c r="F141" s="12">
        <f ca="1">IF(Avaliação!L144="","-",Avaliação!L144)</f>
        <v>14</v>
      </c>
      <c r="G141" s="147" t="e">
        <f ca="1">IF(Avaliação!N144="","-",Avaliação!N144)</f>
        <v>#NAME?</v>
      </c>
      <c r="H141" s="12">
        <f ca="1">IF(Avaliação!P144="","-",Avaliação!P144)</f>
        <v>16</v>
      </c>
      <c r="I141" s="12">
        <f ca="1">IF(Avaliação!R144="","-",Avaliação!R144)</f>
        <v>15</v>
      </c>
      <c r="J141" s="147" t="e">
        <f ca="1">IF(Avaliação!T144="","-",Avaliação!T144)</f>
        <v>#NAME?</v>
      </c>
      <c r="K141" s="12">
        <f ca="1">IF(Avaliação!V144="","-",Avaliação!V144)</f>
        <v>15</v>
      </c>
      <c r="L141" s="12" t="str">
        <f ca="1">IF(Avaliação!X144="","-",Avaliação!X144)</f>
        <v>-</v>
      </c>
      <c r="M141" s="12" t="str">
        <f ca="1">IF(Avaliação!Z144="","-",Avaliação!Z144)</f>
        <v>-</v>
      </c>
      <c r="N141" s="12" t="str">
        <f ca="1">IF(Avaliação!AB144="","-",Avaliação!AB144)</f>
        <v>-</v>
      </c>
      <c r="O141" s="12" t="str">
        <f ca="1">IF(Avaliação!AD144="","-",Avaliação!AD144)</f>
        <v>-</v>
      </c>
      <c r="P141" s="12" t="str">
        <f ca="1">IF(Avaliação!AF144="","-",Avaliação!AF144)</f>
        <v>-</v>
      </c>
    </row>
    <row r="142" spans="1:16">
      <c r="A142" s="34" t="str">
        <f>Avaliação!A145</f>
        <v xml:space="preserve">Limiar Anaeróbico (Pace) </v>
      </c>
      <c r="B142" s="147">
        <f>IF(Avaliação!D145="","-",Avaliação!D145)</f>
        <v>6</v>
      </c>
      <c r="C142" s="147">
        <f>IF(Avaliação!F145="","-",Avaliação!F145)</f>
        <v>4.5999999999999996</v>
      </c>
      <c r="D142" s="147">
        <f>IF(Avaliação!H145="","-",Avaliação!H145)</f>
        <v>4.3</v>
      </c>
      <c r="E142" s="147" t="e">
        <f ca="1">IF(Avaliação!J145="","-",Avaliação!J145)</f>
        <v>#NAME?</v>
      </c>
      <c r="F142" s="147">
        <f ca="1">IF(Avaliação!L145="","-",Avaliação!L145)</f>
        <v>4.2857142857142856</v>
      </c>
      <c r="G142" s="147" t="e">
        <f ca="1">IF(Avaliação!N145="","-",Avaliação!N145)</f>
        <v>#NAME?</v>
      </c>
      <c r="H142" s="147">
        <f ca="1">IF(Avaliação!P145="","-",Avaliação!P145)</f>
        <v>3.75</v>
      </c>
      <c r="I142" s="147">
        <f ca="1">IF(Avaliação!R145="","-",Avaliação!R145)</f>
        <v>4</v>
      </c>
      <c r="J142" s="147" t="e">
        <f ca="1">IF(Avaliação!T145="","-",Avaliação!T145)</f>
        <v>#NAME?</v>
      </c>
      <c r="K142" s="147">
        <f ca="1">IF(Avaliação!V145="","-",Avaliação!V145)</f>
        <v>4</v>
      </c>
      <c r="L142" s="12" t="str">
        <f ca="1">IF(Avaliação!X145="","-",Avaliação!X145)</f>
        <v>-</v>
      </c>
      <c r="M142" s="12" t="str">
        <f ca="1">IF(Avaliação!Z145="","-",Avaliação!Z145)</f>
        <v>-</v>
      </c>
      <c r="N142" s="12" t="str">
        <f ca="1">IF(Avaliação!AB145="","-",Avaliação!AB145)</f>
        <v>-</v>
      </c>
      <c r="O142" s="12" t="str">
        <f ca="1">IF(Avaliação!AD145="","-",Avaliação!AD145)</f>
        <v>-</v>
      </c>
      <c r="P142" s="12" t="str">
        <f ca="1">IF(Avaliação!AF145="","-",Avaliação!AF145)</f>
        <v>-</v>
      </c>
    </row>
    <row r="143" spans="1:16">
      <c r="A143" s="34" t="str">
        <f>Avaliação!A146</f>
        <v xml:space="preserve">Velocidade Máxima (km/h) </v>
      </c>
      <c r="B143" s="12">
        <f>IF(Avaliação!D146="","-",Avaliação!D146)</f>
        <v>13</v>
      </c>
      <c r="C143" s="12">
        <f>IF(Avaliação!F146="","-",Avaliação!F146)</f>
        <v>16</v>
      </c>
      <c r="D143" s="12">
        <f>IF(Avaliação!H146="","-",Avaliação!H146)</f>
        <v>17</v>
      </c>
      <c r="E143" s="12" t="e">
        <f ca="1">IF(Avaliação!J146="","-",Avaliação!J146)</f>
        <v>#NAME?</v>
      </c>
      <c r="F143" s="12" t="e">
        <f ca="1">IF(Avaliação!L146="","-",Avaliação!L146)</f>
        <v>#NAME?</v>
      </c>
      <c r="G143" s="12" t="e">
        <f ca="1">IF(Avaliação!N146="","-",Avaliação!N146)</f>
        <v>#NAME?</v>
      </c>
      <c r="H143" s="12">
        <f ca="1">IF(Avaliação!P146="","-",Avaliação!P146)</f>
        <v>18</v>
      </c>
      <c r="I143" s="12">
        <f ca="1">IF(Avaliação!R146="","-",Avaliação!R146)</f>
        <v>18</v>
      </c>
      <c r="J143" s="12" t="e">
        <f ca="1">IF(Avaliação!T146="","-",Avaliação!T146)</f>
        <v>#NAME?</v>
      </c>
      <c r="K143" s="12">
        <f ca="1">IF(Avaliação!V146="","-",Avaliação!V146)</f>
        <v>19</v>
      </c>
      <c r="L143" s="12" t="str">
        <f ca="1">IF(Avaliação!X146="","-",Avaliação!X146)</f>
        <v>-</v>
      </c>
      <c r="M143" s="12" t="str">
        <f ca="1">IF(Avaliação!Z146="","-",Avaliação!Z146)</f>
        <v>-</v>
      </c>
      <c r="N143" s="12" t="str">
        <f ca="1">IF(Avaliação!AB146="","-",Avaliação!AB146)</f>
        <v>-</v>
      </c>
      <c r="O143" s="12" t="str">
        <f ca="1">IF(Avaliação!AD146="","-",Avaliação!AD146)</f>
        <v>-</v>
      </c>
      <c r="P143" s="12" t="str">
        <f ca="1">IF(Avaliação!AF146="","-",Avaliação!AF146)</f>
        <v>-</v>
      </c>
    </row>
    <row r="144" spans="1:16">
      <c r="A144" s="34" t="str">
        <f>Avaliação!A147</f>
        <v xml:space="preserve">FC Máxima Predita (bpm) </v>
      </c>
      <c r="B144" s="149">
        <f>IF(Avaliação!D147="","-",Avaliação!D147)</f>
        <v>172.23500000000001</v>
      </c>
      <c r="C144" s="149">
        <f>IF(Avaliação!F147="","-",Avaliação!F147)</f>
        <v>171.55</v>
      </c>
      <c r="D144" s="149">
        <f>IF(Avaliação!H147="","-",Avaliação!H147)</f>
        <v>171.55</v>
      </c>
      <c r="E144" s="149">
        <f>IF(Avaliação!J147="","-",Avaliação!J147)</f>
        <v>171.55</v>
      </c>
      <c r="F144" s="149">
        <f>IF(Avaliação!L147="","-",Avaliação!L147)</f>
        <v>170.86500000000001</v>
      </c>
      <c r="G144" s="149">
        <f>IF(Avaliação!N147="","-",Avaliação!N147)</f>
        <v>170.86500000000001</v>
      </c>
      <c r="H144" s="149">
        <f>IF(Avaliação!P147="","-",Avaliação!P147)</f>
        <v>170.18</v>
      </c>
      <c r="I144" s="149">
        <f>IF(Avaliação!R147="","-",Avaliação!R147)</f>
        <v>170.18</v>
      </c>
      <c r="J144" s="149">
        <f>IF(Avaliação!T147="","-",Avaliação!T147)</f>
        <v>169.495</v>
      </c>
      <c r="K144" s="149">
        <f>IF(Avaliação!V147="","-",Avaliação!V147)</f>
        <v>169.495</v>
      </c>
      <c r="L144" s="12" t="str">
        <f>IF(Avaliação!X147="","-",Avaliação!X147)</f>
        <v>-</v>
      </c>
      <c r="M144" s="12" t="str">
        <f>IF(Avaliação!Z147="","-",Avaliação!Z147)</f>
        <v>-</v>
      </c>
      <c r="N144" s="12" t="str">
        <f>IF(Avaliação!AB147="","-",Avaliação!AB147)</f>
        <v>-</v>
      </c>
      <c r="O144" s="12" t="str">
        <f>IF(Avaliação!AD147="","-",Avaliação!AD147)</f>
        <v>-</v>
      </c>
      <c r="P144" s="12" t="str">
        <f>IF(Avaliação!AF147="","-",Avaliação!AF147)</f>
        <v>-</v>
      </c>
    </row>
    <row r="145" spans="1:16">
      <c r="A145" s="34" t="str">
        <f>Avaliação!A148</f>
        <v xml:space="preserve">FC Máxima no Teste (bpm) </v>
      </c>
      <c r="B145" s="12">
        <f>IF(Avaliação!D148="","-",Avaliação!D148)</f>
        <v>170</v>
      </c>
      <c r="C145" s="12">
        <f>IF(Avaliação!F148="","-",Avaliação!F148)</f>
        <v>155</v>
      </c>
      <c r="D145" s="12">
        <f>IF(Avaliação!H148="","-",Avaliação!H148)</f>
        <v>155</v>
      </c>
      <c r="E145" s="12">
        <f ca="1">IF(Avaliação!J148="","-",Avaliação!J148)</f>
        <v>155</v>
      </c>
      <c r="F145" s="12">
        <f ca="1">IF(Avaliação!L148="","-",Avaliação!L148)</f>
        <v>164</v>
      </c>
      <c r="G145" s="12">
        <f ca="1">IF(Avaliação!N148="","-",Avaliação!N148)</f>
        <v>158</v>
      </c>
      <c r="H145" s="12">
        <f ca="1">IF(Avaliação!P148="","-",Avaliação!P148)</f>
        <v>162</v>
      </c>
      <c r="I145" s="12">
        <f ca="1">IF(Avaliação!R148="","-",Avaliação!R148)</f>
        <v>162</v>
      </c>
      <c r="J145" s="12">
        <f ca="1">IF(Avaliação!T148="","-",Avaliação!T148)</f>
        <v>151</v>
      </c>
      <c r="K145" s="12">
        <f ca="1">IF(Avaliação!V148="","-",Avaliação!V148)</f>
        <v>150</v>
      </c>
      <c r="L145" s="12" t="str">
        <f ca="1">IF(Avaliação!X148="","-",Avaliação!X148)</f>
        <v>-</v>
      </c>
      <c r="M145" s="12" t="str">
        <f ca="1">IF(Avaliação!Z148="","-",Avaliação!Z148)</f>
        <v>-</v>
      </c>
      <c r="N145" s="12" t="str">
        <f ca="1">IF(Avaliação!AB148="","-",Avaliação!AB148)</f>
        <v>-</v>
      </c>
      <c r="O145" s="12" t="str">
        <f ca="1">IF(Avaliação!AD148="","-",Avaliação!AD148)</f>
        <v>-</v>
      </c>
      <c r="P145" s="12" t="str">
        <f ca="1">IF(Avaliação!AF148="","-",Avaliação!AF148)</f>
        <v>-</v>
      </c>
    </row>
    <row r="146" spans="1:16">
      <c r="B146" s="12"/>
      <c r="C146" s="12"/>
      <c r="D146" s="12"/>
      <c r="E146" s="12"/>
      <c r="F146" s="12"/>
      <c r="G146" s="12"/>
      <c r="H146" s="12"/>
      <c r="I146" s="12"/>
      <c r="J146" s="12"/>
      <c r="K146" s="12"/>
      <c r="L146" s="12"/>
      <c r="M146" s="12"/>
      <c r="N146" s="12"/>
      <c r="O146" s="12"/>
      <c r="P146" s="12"/>
    </row>
    <row r="148" spans="1:16">
      <c r="B148" s="12"/>
      <c r="C148" s="12"/>
      <c r="D148" s="12"/>
      <c r="E148" s="12"/>
      <c r="F148" s="12"/>
      <c r="G148" s="12"/>
      <c r="H148" s="12"/>
      <c r="I148" s="12"/>
      <c r="J148" s="12"/>
      <c r="K148" s="12"/>
      <c r="L148" s="12"/>
      <c r="M148" s="12"/>
      <c r="N148" s="12"/>
      <c r="O148" s="12"/>
      <c r="P148" s="12"/>
    </row>
    <row r="149" spans="1:16">
      <c r="B149" s="12"/>
      <c r="C149" s="12"/>
      <c r="D149" s="12"/>
      <c r="E149" s="12"/>
      <c r="F149" s="12"/>
      <c r="G149" s="12"/>
      <c r="H149" s="12"/>
      <c r="I149" s="12"/>
      <c r="J149" s="12"/>
      <c r="K149" s="12"/>
      <c r="L149" s="12"/>
      <c r="M149" s="12"/>
      <c r="N149" s="12"/>
      <c r="O149" s="12"/>
      <c r="P149" s="12"/>
    </row>
    <row r="150" spans="1:16">
      <c r="A150" s="34" t="str">
        <f>Imagens!A28</f>
        <v>Cabeça e Pescoço</v>
      </c>
      <c r="B150" s="12" t="str">
        <f>IF(Imagens!B28="","-",Imagens!B28)</f>
        <v>-</v>
      </c>
      <c r="C150" s="12" t="str">
        <f>IF(Imagens!C28="","-",Imagens!C28)</f>
        <v>-</v>
      </c>
      <c r="D150" s="12" t="str">
        <f>IF(Imagens!D28="","-",Imagens!D28)</f>
        <v>-</v>
      </c>
      <c r="E150" s="12" t="str">
        <f>IF(Imagens!E28="","-",Imagens!E28)</f>
        <v>-</v>
      </c>
      <c r="F150" s="12" t="str">
        <f>IF(Imagens!F28="","-",Imagens!F28)</f>
        <v>-</v>
      </c>
      <c r="G150" s="12" t="str">
        <f>IF(Imagens!G28="","-",Imagens!G28)</f>
        <v>-</v>
      </c>
      <c r="H150" s="12" t="str">
        <f>IF(Imagens!H28="","-",Imagens!H28)</f>
        <v>-</v>
      </c>
      <c r="I150" s="12" t="str">
        <f>IF(Imagens!I28="","-",Imagens!I28)</f>
        <v>-</v>
      </c>
      <c r="J150" s="12" t="str">
        <f>IF(Imagens!J28="","-",Imagens!J28)</f>
        <v>-</v>
      </c>
      <c r="K150" s="12" t="str">
        <f>IF(Imagens!K28="","-",Imagens!K28)</f>
        <v>-</v>
      </c>
      <c r="L150" s="12" t="str">
        <f>IF(Imagens!L28="","-",Imagens!L28)</f>
        <v>-</v>
      </c>
      <c r="M150" s="12" t="str">
        <f>IF(Imagens!M28="","-",Imagens!M28)</f>
        <v>-</v>
      </c>
      <c r="N150" s="12" t="str">
        <f>IF(Imagens!N28="","-",Imagens!N28)</f>
        <v>-</v>
      </c>
      <c r="O150" s="12" t="str">
        <f>IF(Imagens!O28="","-",Imagens!O28)</f>
        <v>-</v>
      </c>
      <c r="P150" s="12" t="str">
        <f>IF(Imagens!P28="","-",Imagens!P28)</f>
        <v>-</v>
      </c>
    </row>
    <row r="151" spans="1:16">
      <c r="A151" s="34" t="str">
        <f>Imagens!A29</f>
        <v>Coluna Dorsal e Lombar</v>
      </c>
      <c r="B151" s="12" t="str">
        <f>IF(Imagens!B29="","-",Imagens!B29)</f>
        <v>-</v>
      </c>
      <c r="C151" s="12" t="str">
        <f>IF(Imagens!C29="","-",Imagens!C29)</f>
        <v>-</v>
      </c>
      <c r="D151" s="12" t="str">
        <f>IF(Imagens!D29="","-",Imagens!D29)</f>
        <v>-</v>
      </c>
      <c r="E151" s="12" t="str">
        <f>IF(Imagens!E29="","-",Imagens!E29)</f>
        <v>-</v>
      </c>
      <c r="F151" s="12" t="str">
        <f>IF(Imagens!F29="","-",Imagens!F29)</f>
        <v>-</v>
      </c>
      <c r="G151" s="12" t="str">
        <f>IF(Imagens!G29="","-",Imagens!G29)</f>
        <v>-</v>
      </c>
      <c r="H151" s="12" t="str">
        <f>IF(Imagens!H29="","-",Imagens!H29)</f>
        <v>-</v>
      </c>
      <c r="I151" s="12" t="str">
        <f>IF(Imagens!I29="","-",Imagens!I29)</f>
        <v>-</v>
      </c>
      <c r="J151" s="12" t="str">
        <f>IF(Imagens!J29="","-",Imagens!J29)</f>
        <v>-</v>
      </c>
      <c r="K151" s="12" t="str">
        <f>IF(Imagens!K29="","-",Imagens!K29)</f>
        <v>-</v>
      </c>
      <c r="L151" s="12" t="str">
        <f>IF(Imagens!L29="","-",Imagens!L29)</f>
        <v>-</v>
      </c>
      <c r="M151" s="12" t="str">
        <f>IF(Imagens!M29="","-",Imagens!M29)</f>
        <v>-</v>
      </c>
      <c r="N151" s="12" t="str">
        <f>IF(Imagens!N29="","-",Imagens!N29)</f>
        <v>-</v>
      </c>
      <c r="O151" s="12" t="str">
        <f>IF(Imagens!O29="","-",Imagens!O29)</f>
        <v>-</v>
      </c>
      <c r="P151" s="12" t="str">
        <f>IF(Imagens!P29="","-",Imagens!P29)</f>
        <v>-</v>
      </c>
    </row>
    <row r="152" spans="1:16">
      <c r="A152" s="34" t="str">
        <f>Imagens!A30</f>
        <v>Abdomên e Quadril</v>
      </c>
      <c r="B152" s="12" t="str">
        <f>IF(Imagens!B30="","-",Imagens!B30)</f>
        <v>-</v>
      </c>
      <c r="C152" s="12" t="str">
        <f>IF(Imagens!C30="","-",Imagens!C30)</f>
        <v>-</v>
      </c>
      <c r="D152" s="12" t="str">
        <f>IF(Imagens!D30="","-",Imagens!D30)</f>
        <v>-</v>
      </c>
      <c r="E152" s="12" t="str">
        <f>IF(Imagens!E30="","-",Imagens!E30)</f>
        <v>-</v>
      </c>
      <c r="F152" s="12" t="str">
        <f>IF(Imagens!F30="","-",Imagens!F30)</f>
        <v>-</v>
      </c>
      <c r="G152" s="12" t="str">
        <f>IF(Imagens!G30="","-",Imagens!G30)</f>
        <v>-</v>
      </c>
      <c r="H152" s="12" t="str">
        <f>IF(Imagens!H30="","-",Imagens!H30)</f>
        <v>-</v>
      </c>
      <c r="I152" s="12" t="str">
        <f>IF(Imagens!I30="","-",Imagens!I30)</f>
        <v>-</v>
      </c>
      <c r="J152" s="12" t="str">
        <f>IF(Imagens!J30="","-",Imagens!J30)</f>
        <v>-</v>
      </c>
      <c r="K152" s="12" t="str">
        <f>IF(Imagens!K30="","-",Imagens!K30)</f>
        <v>-</v>
      </c>
      <c r="L152" s="12" t="str">
        <f>IF(Imagens!L30="","-",Imagens!L30)</f>
        <v>-</v>
      </c>
      <c r="M152" s="12" t="str">
        <f>IF(Imagens!M30="","-",Imagens!M30)</f>
        <v>-</v>
      </c>
      <c r="N152" s="12" t="str">
        <f>IF(Imagens!N30="","-",Imagens!N30)</f>
        <v>-</v>
      </c>
      <c r="O152" s="12" t="str">
        <f>IF(Imagens!O30="","-",Imagens!O30)</f>
        <v>-</v>
      </c>
      <c r="P152" s="12" t="str">
        <f>IF(Imagens!P30="","-",Imagens!P30)</f>
        <v>-</v>
      </c>
    </row>
    <row r="153" spans="1:16">
      <c r="A153" s="34" t="str">
        <f>Imagens!A31</f>
        <v>Membros Inferiores</v>
      </c>
      <c r="B153" s="12" t="str">
        <f>IF(Imagens!B31="","-",Imagens!B31)</f>
        <v>-</v>
      </c>
      <c r="C153" s="12" t="str">
        <f>IF(Imagens!C31="","-",Imagens!C31)</f>
        <v>-</v>
      </c>
      <c r="D153" s="12" t="str">
        <f>IF(Imagens!D31="","-",Imagens!D31)</f>
        <v>-</v>
      </c>
      <c r="E153" s="12" t="str">
        <f>IF(Imagens!E31="","-",Imagens!E31)</f>
        <v>-</v>
      </c>
      <c r="F153" s="12" t="str">
        <f>IF(Imagens!F31="","-",Imagens!F31)</f>
        <v>-</v>
      </c>
      <c r="G153" s="12" t="str">
        <f>IF(Imagens!G31="","-",Imagens!G31)</f>
        <v>-</v>
      </c>
      <c r="H153" s="12" t="str">
        <f>IF(Imagens!H31="","-",Imagens!H31)</f>
        <v>-</v>
      </c>
      <c r="I153" s="12" t="str">
        <f>IF(Imagens!I31="","-",Imagens!I31)</f>
        <v>-</v>
      </c>
      <c r="J153" s="12" t="str">
        <f>IF(Imagens!J31="","-",Imagens!J31)</f>
        <v>-</v>
      </c>
      <c r="K153" s="12" t="str">
        <f>IF(Imagens!K31="","-",Imagens!K31)</f>
        <v>-</v>
      </c>
      <c r="L153" s="12" t="str">
        <f>IF(Imagens!L31="","-",Imagens!L31)</f>
        <v>-</v>
      </c>
      <c r="M153" s="12" t="str">
        <f>IF(Imagens!M31="","-",Imagens!M31)</f>
        <v>-</v>
      </c>
      <c r="N153" s="12" t="str">
        <f>IF(Imagens!N31="","-",Imagens!N31)</f>
        <v>-</v>
      </c>
      <c r="O153" s="12" t="str">
        <f>IF(Imagens!O31="","-",Imagens!O31)</f>
        <v>-</v>
      </c>
      <c r="P153" s="12" t="str">
        <f>IF(Imagens!P31="","-",Imagens!P31)</f>
        <v>-</v>
      </c>
    </row>
    <row r="154" spans="1:16">
      <c r="A154" s="34" t="str">
        <f>Imagens!A32</f>
        <v>Índice de Correção Postural</v>
      </c>
      <c r="B154" s="12" t="str">
        <f>IF(Imagens!B32="","-",Imagens!B32)</f>
        <v>-</v>
      </c>
      <c r="C154" s="12" t="str">
        <f>IF(Imagens!C32="","-",Imagens!C32)</f>
        <v>-</v>
      </c>
      <c r="D154" s="12" t="str">
        <f>IF(Imagens!D32="","-",Imagens!D32)</f>
        <v>-</v>
      </c>
      <c r="E154" s="12" t="str">
        <f>IF(Imagens!E32="","-",Imagens!E32)</f>
        <v>-</v>
      </c>
      <c r="F154" s="12" t="str">
        <f>IF(Imagens!F32="","-",Imagens!F32)</f>
        <v>-</v>
      </c>
      <c r="G154" s="12" t="str">
        <f>IF(Imagens!G32="","-",Imagens!G32)</f>
        <v>-</v>
      </c>
      <c r="H154" s="12" t="str">
        <f>IF(Imagens!H32="","-",Imagens!H32)</f>
        <v>-</v>
      </c>
      <c r="I154" s="12" t="str">
        <f>IF(Imagens!I32="","-",Imagens!I32)</f>
        <v>-</v>
      </c>
      <c r="J154" s="12" t="str">
        <f>IF(Imagens!J32="","-",Imagens!J32)</f>
        <v>-</v>
      </c>
      <c r="K154" s="12" t="str">
        <f>IF(Imagens!K32="","-",Imagens!K32)</f>
        <v>-</v>
      </c>
      <c r="L154" s="12" t="str">
        <f>IF(Imagens!L32="","-",Imagens!L32)</f>
        <v>-</v>
      </c>
      <c r="M154" s="12" t="str">
        <f>IF(Imagens!M32="","-",Imagens!M32)</f>
        <v>-</v>
      </c>
      <c r="N154" s="12" t="str">
        <f>IF(Imagens!N32="","-",Imagens!N32)</f>
        <v>-</v>
      </c>
      <c r="O154" s="12" t="str">
        <f>IF(Imagens!O32="","-",Imagens!O32)</f>
        <v>-</v>
      </c>
      <c r="P154" s="12" t="str">
        <f>IF(Imagens!P32="","-",Imagens!P32)</f>
        <v>-</v>
      </c>
    </row>
    <row r="155" spans="1:16">
      <c r="B155" s="12"/>
      <c r="C155" s="12"/>
      <c r="D155" s="12"/>
      <c r="E155" s="12"/>
      <c r="F155" s="12"/>
      <c r="G155" s="12"/>
      <c r="H155" s="12"/>
      <c r="I155" s="12"/>
      <c r="J155" s="12"/>
      <c r="K155" s="12"/>
      <c r="L155" s="12"/>
      <c r="M155" s="12"/>
      <c r="N155" s="12"/>
      <c r="O155" s="12"/>
      <c r="P155" s="12"/>
    </row>
    <row r="156" spans="1:16">
      <c r="B156" s="12"/>
      <c r="C156" s="12"/>
      <c r="D156" s="12"/>
      <c r="E156" s="12"/>
      <c r="F156" s="12"/>
      <c r="G156" s="12"/>
      <c r="H156" s="12"/>
      <c r="I156" s="12"/>
      <c r="J156" s="12"/>
      <c r="K156" s="12"/>
      <c r="L156" s="12"/>
      <c r="M156" s="12"/>
      <c r="N156" s="12"/>
      <c r="O156" s="12"/>
      <c r="P156" s="12"/>
    </row>
    <row r="157" spans="1:16">
      <c r="A157" s="34" t="str">
        <f>Avaliação!A150</f>
        <v>Variável 1</v>
      </c>
      <c r="B157" s="12" t="str">
        <f>IF(Avaliação!D150="","-",Avaliação!D150)</f>
        <v>-</v>
      </c>
      <c r="C157" s="12" t="str">
        <f>IF(Avaliação!F150="","-",Avaliação!F150)</f>
        <v>-</v>
      </c>
      <c r="D157" s="12" t="str">
        <f>IF(Avaliação!H150="","-",Avaliação!H150)</f>
        <v>-</v>
      </c>
      <c r="E157" s="12" t="str">
        <f>IF(Avaliação!J150="","-",Avaliação!J150)</f>
        <v>-</v>
      </c>
      <c r="F157" s="12" t="str">
        <f>IF(Avaliação!L150="","-",Avaliação!L150)</f>
        <v>-</v>
      </c>
      <c r="G157" s="12" t="str">
        <f>IF(Avaliação!N150="","-",Avaliação!N150)</f>
        <v>-</v>
      </c>
      <c r="H157" s="12" t="str">
        <f>IF(Avaliação!P150="","-",Avaliação!P150)</f>
        <v>-</v>
      </c>
      <c r="I157" s="12" t="str">
        <f>IF(Avaliação!R150="","-",Avaliação!R150)</f>
        <v>-</v>
      </c>
      <c r="J157" s="12" t="str">
        <f>IF(Avaliação!T150="","-",Avaliação!T150)</f>
        <v>-</v>
      </c>
      <c r="K157" s="12" t="str">
        <f>IF(Avaliação!V150="","-",Avaliação!V150)</f>
        <v>-</v>
      </c>
      <c r="L157" s="12" t="str">
        <f>IF(Avaliação!X150="","-",Avaliação!X150)</f>
        <v>-</v>
      </c>
      <c r="M157" s="12" t="str">
        <f>IF(Avaliação!Z150="","-",Avaliação!Z150)</f>
        <v>-</v>
      </c>
      <c r="N157" s="12" t="str">
        <f>IF(Avaliação!AB150="","-",Avaliação!AB150)</f>
        <v>-</v>
      </c>
      <c r="O157" s="12" t="str">
        <f>IF(Avaliação!AD150="","-",Avaliação!AD150)</f>
        <v>-</v>
      </c>
      <c r="P157" s="12" t="str">
        <f>IF(Avaliação!AF150="","-",Avaliação!AF150)</f>
        <v>-</v>
      </c>
    </row>
    <row r="158" spans="1:16">
      <c r="A158" s="34" t="str">
        <f>Avaliação!A151</f>
        <v>Variável 2</v>
      </c>
      <c r="B158" s="12" t="str">
        <f>IF(Avaliação!D151="","-",Avaliação!D151)</f>
        <v>-</v>
      </c>
      <c r="C158" s="12" t="str">
        <f>IF(Avaliação!F151="","-",Avaliação!F151)</f>
        <v>-</v>
      </c>
      <c r="D158" s="12" t="str">
        <f>IF(Avaliação!H151="","-",Avaliação!H151)</f>
        <v>-</v>
      </c>
      <c r="E158" s="12" t="str">
        <f>IF(Avaliação!J151="","-",Avaliação!J151)</f>
        <v>-</v>
      </c>
      <c r="F158" s="12" t="str">
        <f>IF(Avaliação!L151="","-",Avaliação!L151)</f>
        <v>-</v>
      </c>
      <c r="G158" s="12" t="str">
        <f>IF(Avaliação!N151="","-",Avaliação!N151)</f>
        <v>-</v>
      </c>
      <c r="H158" s="12" t="str">
        <f>IF(Avaliação!P151="","-",Avaliação!P151)</f>
        <v>-</v>
      </c>
      <c r="I158" s="12" t="str">
        <f>IF(Avaliação!R151="","-",Avaliação!R151)</f>
        <v>-</v>
      </c>
      <c r="J158" s="12" t="str">
        <f>IF(Avaliação!T151="","-",Avaliação!T151)</f>
        <v>-</v>
      </c>
      <c r="K158" s="12" t="str">
        <f>IF(Avaliação!V151="","-",Avaliação!V151)</f>
        <v>-</v>
      </c>
      <c r="L158" s="12" t="str">
        <f>IF(Avaliação!X151="","-",Avaliação!X151)</f>
        <v>-</v>
      </c>
      <c r="M158" s="12" t="str">
        <f>IF(Avaliação!Z151="","-",Avaliação!Z151)</f>
        <v>-</v>
      </c>
      <c r="N158" s="12" t="str">
        <f>IF(Avaliação!AB151="","-",Avaliação!AB151)</f>
        <v>-</v>
      </c>
      <c r="O158" s="12" t="str">
        <f>IF(Avaliação!AD151="","-",Avaliação!AD151)</f>
        <v>-</v>
      </c>
      <c r="P158" s="12" t="str">
        <f>IF(Avaliação!AF151="","-",Avaliação!AF151)</f>
        <v>-</v>
      </c>
    </row>
    <row r="159" spans="1:16">
      <c r="A159" s="34" t="str">
        <f>Avaliação!A152</f>
        <v>Variável 3</v>
      </c>
      <c r="B159" s="12" t="str">
        <f>IF(Avaliação!D152="","-",Avaliação!D152)</f>
        <v>-</v>
      </c>
      <c r="C159" s="12" t="str">
        <f>IF(Avaliação!F152="","-",Avaliação!F152)</f>
        <v>-</v>
      </c>
      <c r="D159" s="12" t="str">
        <f>IF(Avaliação!H152="","-",Avaliação!H152)</f>
        <v>-</v>
      </c>
      <c r="E159" s="12" t="str">
        <f>IF(Avaliação!J152="","-",Avaliação!J152)</f>
        <v>-</v>
      </c>
      <c r="F159" s="12" t="str">
        <f>IF(Avaliação!L152="","-",Avaliação!L152)</f>
        <v>-</v>
      </c>
      <c r="G159" s="12" t="str">
        <f>IF(Avaliação!N152="","-",Avaliação!N152)</f>
        <v>-</v>
      </c>
      <c r="H159" s="12" t="str">
        <f>IF(Avaliação!P152="","-",Avaliação!P152)</f>
        <v>-</v>
      </c>
      <c r="I159" s="12" t="str">
        <f>IF(Avaliação!R152="","-",Avaliação!R152)</f>
        <v>-</v>
      </c>
      <c r="J159" s="12" t="str">
        <f>IF(Avaliação!T152="","-",Avaliação!T152)</f>
        <v>-</v>
      </c>
      <c r="K159" s="12" t="str">
        <f>IF(Avaliação!V152="","-",Avaliação!V152)</f>
        <v>-</v>
      </c>
      <c r="L159" s="12" t="str">
        <f>IF(Avaliação!X152="","-",Avaliação!X152)</f>
        <v>-</v>
      </c>
      <c r="M159" s="12" t="str">
        <f>IF(Avaliação!Z152="","-",Avaliação!Z152)</f>
        <v>-</v>
      </c>
      <c r="N159" s="12" t="str">
        <f>IF(Avaliação!AB152="","-",Avaliação!AB152)</f>
        <v>-</v>
      </c>
      <c r="O159" s="12" t="str">
        <f>IF(Avaliação!AD152="","-",Avaliação!AD152)</f>
        <v>-</v>
      </c>
      <c r="P159" s="12" t="str">
        <f>IF(Avaliação!AF152="","-",Avaliação!AF152)</f>
        <v>-</v>
      </c>
    </row>
    <row r="160" spans="1:16">
      <c r="A160" s="34" t="str">
        <f>Avaliação!A153</f>
        <v>Variável 4</v>
      </c>
      <c r="B160" s="12" t="str">
        <f>IF(Avaliação!D153="","-",Avaliação!D153)</f>
        <v>-</v>
      </c>
      <c r="C160" s="12" t="str">
        <f>IF(Avaliação!F153="","-",Avaliação!F153)</f>
        <v>-</v>
      </c>
      <c r="D160" s="12" t="str">
        <f>IF(Avaliação!H153="","-",Avaliação!H153)</f>
        <v>-</v>
      </c>
      <c r="E160" s="12" t="str">
        <f>IF(Avaliação!J153="","-",Avaliação!J153)</f>
        <v>-</v>
      </c>
      <c r="F160" s="12" t="str">
        <f>IF(Avaliação!L153="","-",Avaliação!L153)</f>
        <v>-</v>
      </c>
      <c r="G160" s="12" t="str">
        <f>IF(Avaliação!N153="","-",Avaliação!N153)</f>
        <v>-</v>
      </c>
      <c r="H160" s="12" t="str">
        <f>IF(Avaliação!P153="","-",Avaliação!P153)</f>
        <v>-</v>
      </c>
      <c r="I160" s="12" t="str">
        <f>IF(Avaliação!R153="","-",Avaliação!R153)</f>
        <v>-</v>
      </c>
      <c r="J160" s="12" t="str">
        <f>IF(Avaliação!T153="","-",Avaliação!T153)</f>
        <v>-</v>
      </c>
      <c r="K160" s="12" t="str">
        <f>IF(Avaliação!V153="","-",Avaliação!V153)</f>
        <v>-</v>
      </c>
      <c r="L160" s="12" t="str">
        <f>IF(Avaliação!X153="","-",Avaliação!X153)</f>
        <v>-</v>
      </c>
      <c r="M160" s="12" t="str">
        <f>IF(Avaliação!Z153="","-",Avaliação!Z153)</f>
        <v>-</v>
      </c>
      <c r="N160" s="12" t="str">
        <f>IF(Avaliação!AB153="","-",Avaliação!AB153)</f>
        <v>-</v>
      </c>
      <c r="O160" s="12" t="str">
        <f>IF(Avaliação!AD153="","-",Avaliação!AD153)</f>
        <v>-</v>
      </c>
      <c r="P160" s="12" t="str">
        <f>IF(Avaliação!AF153="","-",Avaliação!AF153)</f>
        <v>-</v>
      </c>
    </row>
    <row r="161" spans="1:16">
      <c r="A161" s="34" t="str">
        <f>Avaliação!A154</f>
        <v>Variável 5</v>
      </c>
      <c r="B161" s="12" t="str">
        <f>IF(Avaliação!D154="","-",Avaliação!D154)</f>
        <v>-</v>
      </c>
      <c r="C161" s="12" t="str">
        <f>IF(Avaliação!F154="","-",Avaliação!F154)</f>
        <v>-</v>
      </c>
      <c r="D161" s="12" t="str">
        <f>IF(Avaliação!H154="","-",Avaliação!H154)</f>
        <v>-</v>
      </c>
      <c r="E161" s="12" t="str">
        <f>IF(Avaliação!J154="","-",Avaliação!J154)</f>
        <v>-</v>
      </c>
      <c r="F161" s="12" t="str">
        <f>IF(Avaliação!L154="","-",Avaliação!L154)</f>
        <v>-</v>
      </c>
      <c r="G161" s="12" t="str">
        <f>IF(Avaliação!N154="","-",Avaliação!N154)</f>
        <v>-</v>
      </c>
      <c r="H161" s="12" t="str">
        <f>IF(Avaliação!P154="","-",Avaliação!P154)</f>
        <v>-</v>
      </c>
      <c r="I161" s="12" t="str">
        <f>IF(Avaliação!R154="","-",Avaliação!R154)</f>
        <v>-</v>
      </c>
      <c r="J161" s="12" t="str">
        <f>IF(Avaliação!T154="","-",Avaliação!T154)</f>
        <v>-</v>
      </c>
      <c r="K161" s="12" t="str">
        <f>IF(Avaliação!V154="","-",Avaliação!V154)</f>
        <v>-</v>
      </c>
      <c r="L161" s="12" t="str">
        <f>IF(Avaliação!X154="","-",Avaliação!X154)</f>
        <v>-</v>
      </c>
      <c r="M161" s="12" t="str">
        <f>IF(Avaliação!Z154="","-",Avaliação!Z154)</f>
        <v>-</v>
      </c>
      <c r="N161" s="12" t="str">
        <f>IF(Avaliação!AB154="","-",Avaliação!AB154)</f>
        <v>-</v>
      </c>
      <c r="O161" s="12" t="str">
        <f>IF(Avaliação!AD154="","-",Avaliação!AD154)</f>
        <v>-</v>
      </c>
      <c r="P161" s="12" t="str">
        <f>IF(Avaliação!AF154="","-",Avaliação!AF154)</f>
        <v>-</v>
      </c>
    </row>
    <row r="162" spans="1:16">
      <c r="A162" s="34" t="str">
        <f>Avaliação!A155</f>
        <v>Variável 6</v>
      </c>
      <c r="B162" s="12" t="str">
        <f>IF(Avaliação!D155="","-",Avaliação!D155)</f>
        <v>-</v>
      </c>
      <c r="C162" s="12" t="str">
        <f>IF(Avaliação!F155="","-",Avaliação!F155)</f>
        <v>-</v>
      </c>
      <c r="D162" s="12" t="str">
        <f>IF(Avaliação!H155="","-",Avaliação!H155)</f>
        <v>-</v>
      </c>
      <c r="E162" s="12" t="str">
        <f>IF(Avaliação!J155="","-",Avaliação!J155)</f>
        <v>-</v>
      </c>
      <c r="F162" s="12" t="str">
        <f>IF(Avaliação!L155="","-",Avaliação!L155)</f>
        <v>-</v>
      </c>
      <c r="G162" s="12" t="str">
        <f>IF(Avaliação!N155="","-",Avaliação!N155)</f>
        <v>-</v>
      </c>
      <c r="H162" s="12" t="str">
        <f>IF(Avaliação!P155="","-",Avaliação!P155)</f>
        <v>-</v>
      </c>
      <c r="I162" s="12" t="str">
        <f>IF(Avaliação!R155="","-",Avaliação!R155)</f>
        <v>-</v>
      </c>
      <c r="J162" s="12" t="str">
        <f>IF(Avaliação!T155="","-",Avaliação!T155)</f>
        <v>-</v>
      </c>
      <c r="K162" s="12" t="str">
        <f>IF(Avaliação!V155="","-",Avaliação!V155)</f>
        <v>-</v>
      </c>
      <c r="L162" s="12" t="str">
        <f>IF(Avaliação!X155="","-",Avaliação!X155)</f>
        <v>-</v>
      </c>
      <c r="M162" s="12" t="str">
        <f>IF(Avaliação!Z155="","-",Avaliação!Z155)</f>
        <v>-</v>
      </c>
      <c r="N162" s="12" t="str">
        <f>IF(Avaliação!AB155="","-",Avaliação!AB155)</f>
        <v>-</v>
      </c>
      <c r="O162" s="12" t="str">
        <f>IF(Avaliação!AD155="","-",Avaliação!AD155)</f>
        <v>-</v>
      </c>
      <c r="P162" s="12" t="str">
        <f>IF(Avaliação!AF155="","-",Avaliação!AF155)</f>
        <v>-</v>
      </c>
    </row>
    <row r="163" spans="1:16">
      <c r="A163" s="34" t="str">
        <f>Avaliação!A156</f>
        <v>Variável 7</v>
      </c>
      <c r="B163" s="12" t="str">
        <f>IF(Avaliação!D156="","-",Avaliação!D156)</f>
        <v>-</v>
      </c>
      <c r="C163" s="12" t="str">
        <f>IF(Avaliação!F156="","-",Avaliação!F156)</f>
        <v>-</v>
      </c>
      <c r="D163" s="12" t="str">
        <f>IF(Avaliação!H156="","-",Avaliação!H156)</f>
        <v>-</v>
      </c>
      <c r="E163" s="12" t="str">
        <f>IF(Avaliação!J156="","-",Avaliação!J156)</f>
        <v>-</v>
      </c>
      <c r="F163" s="12" t="str">
        <f>IF(Avaliação!L156="","-",Avaliação!L156)</f>
        <v>-</v>
      </c>
      <c r="G163" s="12" t="str">
        <f>IF(Avaliação!N156="","-",Avaliação!N156)</f>
        <v>-</v>
      </c>
      <c r="H163" s="12" t="str">
        <f>IF(Avaliação!P156="","-",Avaliação!P156)</f>
        <v>-</v>
      </c>
      <c r="I163" s="12" t="str">
        <f>IF(Avaliação!R156="","-",Avaliação!R156)</f>
        <v>-</v>
      </c>
      <c r="J163" s="12" t="str">
        <f>IF(Avaliação!T156="","-",Avaliação!T156)</f>
        <v>-</v>
      </c>
      <c r="K163" s="12" t="str">
        <f>IF(Avaliação!V156="","-",Avaliação!V156)</f>
        <v>-</v>
      </c>
      <c r="L163" s="12" t="str">
        <f>IF(Avaliação!X156="","-",Avaliação!X156)</f>
        <v>-</v>
      </c>
      <c r="M163" s="12" t="str">
        <f>IF(Avaliação!Z156="","-",Avaliação!Z156)</f>
        <v>-</v>
      </c>
      <c r="N163" s="12" t="str">
        <f>IF(Avaliação!AB156="","-",Avaliação!AB156)</f>
        <v>-</v>
      </c>
      <c r="O163" s="12" t="str">
        <f>IF(Avaliação!AD156="","-",Avaliação!AD156)</f>
        <v>-</v>
      </c>
      <c r="P163" s="12" t="str">
        <f>IF(Avaliação!AF156="","-",Avaliação!AF156)</f>
        <v>-</v>
      </c>
    </row>
    <row r="164" spans="1:16">
      <c r="A164" s="34" t="str">
        <f>Avaliação!A157</f>
        <v>Variável 8</v>
      </c>
      <c r="B164" s="12" t="str">
        <f>IF(Avaliação!D157="","-",Avaliação!D157)</f>
        <v>-</v>
      </c>
      <c r="C164" s="12" t="str">
        <f>IF(Avaliação!F157="","-",Avaliação!F157)</f>
        <v>-</v>
      </c>
      <c r="D164" s="12" t="str">
        <f>IF(Avaliação!H157="","-",Avaliação!H157)</f>
        <v>-</v>
      </c>
      <c r="E164" s="12" t="str">
        <f>IF(Avaliação!J157="","-",Avaliação!J157)</f>
        <v>-</v>
      </c>
      <c r="F164" s="12" t="str">
        <f>IF(Avaliação!L157="","-",Avaliação!L157)</f>
        <v>-</v>
      </c>
      <c r="G164" s="12" t="str">
        <f>IF(Avaliação!N157="","-",Avaliação!N157)</f>
        <v>-</v>
      </c>
      <c r="H164" s="12" t="str">
        <f>IF(Avaliação!P157="","-",Avaliação!P157)</f>
        <v>-</v>
      </c>
      <c r="I164" s="12" t="str">
        <f>IF(Avaliação!R157="","-",Avaliação!R157)</f>
        <v>-</v>
      </c>
      <c r="J164" s="12" t="str">
        <f>IF(Avaliação!T157="","-",Avaliação!T157)</f>
        <v>-</v>
      </c>
      <c r="K164" s="12" t="str">
        <f>IF(Avaliação!V157="","-",Avaliação!V157)</f>
        <v>-</v>
      </c>
      <c r="L164" s="12" t="str">
        <f>IF(Avaliação!X157="","-",Avaliação!X157)</f>
        <v>-</v>
      </c>
      <c r="M164" s="12" t="str">
        <f>IF(Avaliação!Z157="","-",Avaliação!Z157)</f>
        <v>-</v>
      </c>
      <c r="N164" s="12" t="str">
        <f>IF(Avaliação!AB157="","-",Avaliação!AB157)</f>
        <v>-</v>
      </c>
      <c r="O164" s="12" t="str">
        <f>IF(Avaliação!AD157="","-",Avaliação!AD157)</f>
        <v>-</v>
      </c>
      <c r="P164" s="12" t="str">
        <f>IF(Avaliação!AF157="","-",Avaliação!AF157)</f>
        <v>-</v>
      </c>
    </row>
    <row r="165" spans="1:16">
      <c r="A165" s="34" t="str">
        <f>Avaliação!A158</f>
        <v>Variável 9</v>
      </c>
      <c r="B165" s="12" t="str">
        <f>IF(Avaliação!D158="","-",Avaliação!D158)</f>
        <v>-</v>
      </c>
      <c r="C165" s="12" t="str">
        <f>IF(Avaliação!F158="","-",Avaliação!F158)</f>
        <v>-</v>
      </c>
      <c r="D165" s="12" t="str">
        <f>IF(Avaliação!H158="","-",Avaliação!H158)</f>
        <v>-</v>
      </c>
      <c r="E165" s="12" t="str">
        <f>IF(Avaliação!J158="","-",Avaliação!J158)</f>
        <v>-</v>
      </c>
      <c r="F165" s="12" t="str">
        <f>IF(Avaliação!L158="","-",Avaliação!L158)</f>
        <v>-</v>
      </c>
      <c r="G165" s="12" t="str">
        <f>IF(Avaliação!N158="","-",Avaliação!N158)</f>
        <v>-</v>
      </c>
      <c r="H165" s="12" t="str">
        <f>IF(Avaliação!P158="","-",Avaliação!P158)</f>
        <v>-</v>
      </c>
      <c r="I165" s="12" t="str">
        <f>IF(Avaliação!R158="","-",Avaliação!R158)</f>
        <v>-</v>
      </c>
      <c r="J165" s="12" t="str">
        <f>IF(Avaliação!T158="","-",Avaliação!T158)</f>
        <v>-</v>
      </c>
      <c r="K165" s="12" t="str">
        <f>IF(Avaliação!V158="","-",Avaliação!V158)</f>
        <v>-</v>
      </c>
      <c r="L165" s="12" t="str">
        <f>IF(Avaliação!X158="","-",Avaliação!X158)</f>
        <v>-</v>
      </c>
      <c r="M165" s="12" t="str">
        <f>IF(Avaliação!Z158="","-",Avaliação!Z158)</f>
        <v>-</v>
      </c>
      <c r="N165" s="12" t="str">
        <f>IF(Avaliação!AB158="","-",Avaliação!AB158)</f>
        <v>-</v>
      </c>
      <c r="O165" s="12" t="str">
        <f>IF(Avaliação!AD158="","-",Avaliação!AD158)</f>
        <v>-</v>
      </c>
      <c r="P165" s="12" t="str">
        <f>IF(Avaliação!AF158="","-",Avaliação!AF158)</f>
        <v>-</v>
      </c>
    </row>
    <row r="166" spans="1:16">
      <c r="A166" s="34" t="str">
        <f>Avaliação!A159</f>
        <v>Variável 10</v>
      </c>
      <c r="B166" s="12" t="str">
        <f>IF(Avaliação!D160="","-",Avaliação!D160)</f>
        <v>-</v>
      </c>
      <c r="C166" s="12" t="str">
        <f>IF(Avaliação!F160="","-",Avaliação!F160)</f>
        <v>-</v>
      </c>
      <c r="D166" s="12" t="str">
        <f>IF(Avaliação!H160="","-",Avaliação!H160)</f>
        <v>-</v>
      </c>
      <c r="E166" s="12" t="str">
        <f>IF(Avaliação!J160="","-",Avaliação!J160)</f>
        <v>-</v>
      </c>
      <c r="F166" s="12" t="str">
        <f>IF(Avaliação!L160="","-",Avaliação!L160)</f>
        <v>-</v>
      </c>
      <c r="G166" s="12" t="str">
        <f>IF(Avaliação!N160="","-",Avaliação!N160)</f>
        <v>-</v>
      </c>
      <c r="H166" s="12" t="str">
        <f>IF(Avaliação!P160="","-",Avaliação!P160)</f>
        <v>-</v>
      </c>
      <c r="I166" s="12" t="str">
        <f>IF(Avaliação!R160="","-",Avaliação!R160)</f>
        <v>-</v>
      </c>
      <c r="J166" s="12" t="str">
        <f>IF(Avaliação!T160="","-",Avaliação!T160)</f>
        <v>-</v>
      </c>
      <c r="K166" s="12" t="str">
        <f>IF(Avaliação!V160="","-",Avaliação!V160)</f>
        <v>-</v>
      </c>
      <c r="L166" s="12" t="str">
        <f>IF(Avaliação!X160="","-",Avaliação!X160)</f>
        <v>-</v>
      </c>
      <c r="M166" s="12" t="str">
        <f>IF(Avaliação!Z160="","-",Avaliação!Z160)</f>
        <v>-</v>
      </c>
      <c r="N166" s="12" t="str">
        <f>IF(Avaliação!AB160="","-",Avaliação!AB160)</f>
        <v>-</v>
      </c>
      <c r="O166" s="12" t="str">
        <f>IF(Avaliação!AD160="","-",Avaliação!AD160)</f>
        <v>-</v>
      </c>
      <c r="P166" s="12" t="str">
        <f>IF(Avaliação!AF160="","-",Avaliação!AF160)</f>
        <v>-</v>
      </c>
    </row>
    <row r="167" spans="1:16">
      <c r="B167" s="12"/>
      <c r="C167" s="12"/>
      <c r="D167" s="12"/>
      <c r="E167" s="12"/>
      <c r="F167" s="12"/>
      <c r="G167" s="12"/>
      <c r="H167" s="12"/>
      <c r="I167" s="12"/>
      <c r="J167" s="12"/>
      <c r="K167" s="12"/>
      <c r="L167" s="12"/>
      <c r="M167" s="12"/>
      <c r="N167" s="12"/>
      <c r="O167" s="12"/>
      <c r="P167" s="12"/>
    </row>
    <row r="168" spans="1:16">
      <c r="C168" s="12"/>
      <c r="D168" s="12"/>
      <c r="E168" s="12"/>
      <c r="F168" s="12"/>
      <c r="G168" s="12"/>
      <c r="H168" s="12"/>
      <c r="I168" s="12"/>
      <c r="J168" s="12"/>
      <c r="K168" s="12"/>
      <c r="L168" s="12"/>
      <c r="M168" s="12"/>
      <c r="N168" s="12"/>
      <c r="O168" s="12"/>
      <c r="P168" s="12"/>
    </row>
    <row r="171" spans="1:16">
      <c r="B171" s="12"/>
      <c r="C171" s="12"/>
      <c r="D171" s="12"/>
      <c r="E171" s="12"/>
      <c r="F171" s="12"/>
      <c r="G171" s="12"/>
      <c r="H171" s="12"/>
      <c r="I171" s="12"/>
      <c r="J171" s="12"/>
      <c r="K171" s="12"/>
      <c r="L171" s="12"/>
      <c r="M171" s="12"/>
      <c r="N171" s="12"/>
      <c r="O171" s="12"/>
      <c r="P171" s="12"/>
    </row>
    <row r="172" spans="1:16">
      <c r="B172" s="12"/>
      <c r="C172" s="12"/>
      <c r="D172" s="12"/>
      <c r="E172" s="12"/>
      <c r="F172" s="12"/>
      <c r="G172" s="12"/>
      <c r="H172" s="12"/>
      <c r="I172" s="12"/>
      <c r="J172" s="12"/>
      <c r="K172" s="12"/>
      <c r="L172" s="12"/>
      <c r="M172" s="12"/>
      <c r="N172" s="12"/>
      <c r="O172" s="12"/>
      <c r="P172" s="12"/>
    </row>
    <row r="173" spans="1:16">
      <c r="B173" s="12"/>
      <c r="C173" s="12"/>
      <c r="D173" s="12"/>
      <c r="E173" s="12"/>
      <c r="F173" s="12"/>
      <c r="G173" s="12"/>
      <c r="H173" s="12"/>
      <c r="I173" s="12"/>
      <c r="J173" s="12"/>
      <c r="K173" s="12"/>
      <c r="L173" s="12"/>
      <c r="M173" s="12"/>
      <c r="N173" s="12"/>
      <c r="O173" s="12"/>
      <c r="P173" s="12"/>
    </row>
    <row r="174" spans="1:16">
      <c r="B174" s="12"/>
      <c r="C174" s="12"/>
      <c r="D174" s="12"/>
      <c r="E174" s="12"/>
      <c r="F174" s="12"/>
      <c r="G174" s="12"/>
      <c r="H174" s="12"/>
      <c r="I174" s="12"/>
      <c r="J174" s="12"/>
      <c r="K174" s="12"/>
      <c r="L174" s="12"/>
      <c r="M174" s="12"/>
      <c r="N174" s="12"/>
      <c r="O174" s="12"/>
      <c r="P174" s="12"/>
    </row>
    <row r="175" spans="1:16">
      <c r="B175" s="12"/>
      <c r="C175" s="12"/>
      <c r="D175" s="12"/>
      <c r="E175" s="12"/>
      <c r="F175" s="12"/>
      <c r="G175" s="12"/>
      <c r="H175" s="12"/>
      <c r="I175" s="12"/>
      <c r="J175" s="12"/>
      <c r="K175" s="12"/>
      <c r="L175" s="12"/>
      <c r="M175" s="12"/>
      <c r="N175" s="12"/>
      <c r="O175" s="12"/>
      <c r="P175" s="12"/>
    </row>
    <row r="176" spans="1:16">
      <c r="B176" s="12"/>
      <c r="C176" s="12"/>
      <c r="D176" s="12"/>
      <c r="E176" s="12"/>
      <c r="F176" s="12"/>
      <c r="G176" s="12"/>
      <c r="H176" s="12"/>
      <c r="I176" s="12"/>
      <c r="J176" s="12"/>
      <c r="K176" s="12"/>
      <c r="L176" s="12"/>
      <c r="M176" s="12"/>
      <c r="N176" s="12"/>
      <c r="O176" s="12"/>
      <c r="P176" s="12"/>
    </row>
    <row r="177" spans="2:16">
      <c r="B177" s="12"/>
      <c r="C177" s="12"/>
      <c r="D177" s="12"/>
      <c r="E177" s="12"/>
      <c r="F177" s="12"/>
      <c r="G177" s="12"/>
      <c r="H177" s="12"/>
      <c r="I177" s="12"/>
      <c r="J177" s="12"/>
      <c r="K177" s="12"/>
      <c r="L177" s="12"/>
      <c r="M177" s="12"/>
      <c r="N177" s="12"/>
      <c r="O177" s="12"/>
      <c r="P177" s="12"/>
    </row>
    <row r="178" spans="2:16">
      <c r="B178" s="12"/>
      <c r="C178" s="12"/>
      <c r="D178" s="12"/>
      <c r="E178" s="12"/>
      <c r="F178" s="12"/>
      <c r="G178" s="12"/>
      <c r="H178" s="12"/>
      <c r="I178" s="12"/>
      <c r="J178" s="12"/>
      <c r="K178" s="12"/>
      <c r="L178" s="12"/>
      <c r="M178" s="12"/>
      <c r="N178" s="12"/>
      <c r="O178" s="12"/>
      <c r="P178" s="12"/>
    </row>
    <row r="179" spans="2:16">
      <c r="B179" s="12"/>
      <c r="C179" s="12"/>
      <c r="D179" s="12"/>
      <c r="E179" s="12"/>
      <c r="F179" s="12"/>
      <c r="G179" s="12"/>
      <c r="H179" s="12"/>
      <c r="I179" s="12"/>
      <c r="J179" s="12"/>
      <c r="K179" s="12"/>
      <c r="L179" s="12"/>
      <c r="M179" s="12"/>
      <c r="N179" s="12"/>
      <c r="O179" s="12"/>
      <c r="P179" s="12"/>
    </row>
    <row r="180" spans="2:16">
      <c r="B180" s="12"/>
      <c r="C180" s="12"/>
      <c r="D180" s="12"/>
      <c r="E180" s="12"/>
      <c r="F180" s="12"/>
      <c r="G180" s="12"/>
      <c r="H180" s="12"/>
      <c r="I180" s="12"/>
      <c r="J180" s="12"/>
      <c r="K180" s="12"/>
      <c r="L180" s="12"/>
      <c r="M180" s="12"/>
      <c r="N180" s="12"/>
      <c r="O180" s="12"/>
      <c r="P180" s="12"/>
    </row>
    <row r="181" spans="2:16">
      <c r="B181" s="12"/>
      <c r="C181" s="12"/>
      <c r="D181" s="12"/>
      <c r="E181" s="12"/>
      <c r="F181" s="12"/>
      <c r="G181" s="12"/>
      <c r="H181" s="12"/>
      <c r="I181" s="12"/>
      <c r="J181" s="12"/>
      <c r="K181" s="12"/>
      <c r="L181" s="12"/>
      <c r="M181" s="12"/>
      <c r="N181" s="12"/>
      <c r="O181" s="12"/>
      <c r="P181" s="12"/>
    </row>
    <row r="182" spans="2:16">
      <c r="B182" s="12"/>
      <c r="C182" s="12"/>
      <c r="D182" s="12"/>
      <c r="E182" s="12"/>
      <c r="F182" s="12"/>
      <c r="G182" s="12"/>
      <c r="H182" s="12"/>
      <c r="I182" s="12"/>
      <c r="J182" s="12"/>
      <c r="K182" s="12"/>
      <c r="L182" s="12"/>
      <c r="M182" s="12"/>
      <c r="N182" s="12"/>
      <c r="O182" s="12"/>
      <c r="P182" s="12"/>
    </row>
    <row r="183" spans="2:16">
      <c r="B183" s="12"/>
      <c r="C183" s="12"/>
      <c r="D183" s="12"/>
      <c r="E183" s="12"/>
      <c r="F183" s="12"/>
      <c r="G183" s="12"/>
      <c r="H183" s="12"/>
      <c r="I183" s="12"/>
      <c r="J183" s="12"/>
      <c r="K183" s="12"/>
      <c r="L183" s="12"/>
      <c r="M183" s="12"/>
      <c r="N183" s="12"/>
      <c r="O183" s="12"/>
      <c r="P183" s="12"/>
    </row>
    <row r="184" spans="2:16">
      <c r="B184" s="12"/>
      <c r="C184" s="12"/>
      <c r="D184" s="12"/>
      <c r="E184" s="12"/>
      <c r="F184" s="12"/>
      <c r="G184" s="12"/>
      <c r="H184" s="12"/>
      <c r="I184" s="12"/>
      <c r="J184" s="12"/>
      <c r="K184" s="12"/>
      <c r="L184" s="12"/>
      <c r="M184" s="12"/>
      <c r="N184" s="12"/>
      <c r="O184" s="12"/>
      <c r="P184" s="12"/>
    </row>
    <row r="185" spans="2:16">
      <c r="B185" s="12"/>
      <c r="C185" s="12"/>
      <c r="D185" s="12"/>
      <c r="E185" s="12"/>
      <c r="F185" s="12"/>
      <c r="G185" s="12"/>
      <c r="H185" s="12"/>
      <c r="I185" s="12"/>
      <c r="J185" s="12"/>
      <c r="K185" s="12"/>
      <c r="L185" s="12"/>
      <c r="M185" s="12"/>
      <c r="N185" s="12"/>
      <c r="O185" s="12"/>
      <c r="P185" s="12"/>
    </row>
    <row r="186" spans="2:16">
      <c r="B186" s="12"/>
      <c r="C186" s="12"/>
      <c r="D186" s="12"/>
      <c r="E186" s="12"/>
      <c r="F186" s="12"/>
      <c r="G186" s="12"/>
      <c r="H186" s="12"/>
      <c r="I186" s="12"/>
      <c r="J186" s="12"/>
      <c r="K186" s="12"/>
      <c r="L186" s="12"/>
      <c r="M186" s="12"/>
      <c r="N186" s="12"/>
      <c r="O186" s="12"/>
      <c r="P186" s="12"/>
    </row>
    <row r="187" spans="2:16">
      <c r="B187" s="12"/>
      <c r="C187" s="12"/>
      <c r="D187" s="12"/>
      <c r="E187" s="12"/>
      <c r="F187" s="12"/>
      <c r="G187" s="12"/>
      <c r="H187" s="12"/>
      <c r="I187" s="12"/>
      <c r="J187" s="12"/>
      <c r="K187" s="12"/>
      <c r="L187" s="12"/>
      <c r="M187" s="12"/>
      <c r="N187" s="12"/>
      <c r="O187" s="12"/>
      <c r="P187" s="12"/>
    </row>
    <row r="188" spans="2:16">
      <c r="B188" s="12"/>
      <c r="C188" s="12"/>
      <c r="D188" s="12"/>
      <c r="E188" s="12"/>
      <c r="F188" s="12"/>
      <c r="G188" s="12"/>
      <c r="H188" s="12"/>
      <c r="I188" s="12"/>
      <c r="J188" s="12"/>
      <c r="K188" s="12"/>
      <c r="L188" s="12"/>
      <c r="M188" s="12"/>
      <c r="N188" s="12"/>
      <c r="O188" s="12"/>
      <c r="P188" s="12"/>
    </row>
    <row r="189" spans="2:16">
      <c r="B189" s="12"/>
      <c r="C189" s="12"/>
      <c r="D189" s="12"/>
      <c r="E189" s="12"/>
      <c r="F189" s="12"/>
      <c r="G189" s="12"/>
      <c r="H189" s="12"/>
      <c r="I189" s="12"/>
      <c r="J189" s="12"/>
      <c r="K189" s="12"/>
      <c r="L189" s="12"/>
      <c r="M189" s="12"/>
      <c r="N189" s="12"/>
      <c r="O189" s="12"/>
      <c r="P189" s="12"/>
    </row>
    <row r="190" spans="2:16">
      <c r="B190" s="12"/>
      <c r="C190" s="12"/>
      <c r="D190" s="12"/>
      <c r="E190" s="12"/>
      <c r="F190" s="12"/>
      <c r="G190" s="12"/>
      <c r="H190" s="12"/>
      <c r="I190" s="12"/>
      <c r="J190" s="12"/>
      <c r="K190" s="12"/>
      <c r="L190" s="12"/>
      <c r="M190" s="12"/>
      <c r="N190" s="12"/>
      <c r="O190" s="12"/>
      <c r="P190" s="12"/>
    </row>
    <row r="191" spans="2:16">
      <c r="B191" s="12"/>
      <c r="C191" s="12"/>
      <c r="D191" s="12"/>
      <c r="E191" s="12"/>
      <c r="F191" s="12"/>
      <c r="G191" s="12"/>
      <c r="H191" s="12"/>
      <c r="I191" s="12"/>
      <c r="J191" s="12"/>
      <c r="K191" s="12"/>
      <c r="L191" s="12"/>
      <c r="M191" s="12"/>
      <c r="N191" s="12"/>
      <c r="O191" s="12"/>
      <c r="P191" s="12"/>
    </row>
    <row r="192" spans="2:16">
      <c r="B192" s="12"/>
      <c r="C192" s="12"/>
      <c r="D192" s="12"/>
      <c r="E192" s="12"/>
      <c r="F192" s="12"/>
      <c r="G192" s="12"/>
      <c r="H192" s="12"/>
      <c r="I192" s="12"/>
      <c r="J192" s="12"/>
      <c r="K192" s="12"/>
      <c r="L192" s="12"/>
      <c r="M192" s="12"/>
      <c r="N192" s="12"/>
      <c r="O192" s="12"/>
      <c r="P192" s="12"/>
    </row>
    <row r="193" spans="2:16">
      <c r="B193" s="12"/>
      <c r="C193" s="12"/>
      <c r="D193" s="12"/>
      <c r="E193" s="12"/>
      <c r="F193" s="12"/>
      <c r="G193" s="12"/>
      <c r="H193" s="12"/>
      <c r="I193" s="12"/>
      <c r="J193" s="12"/>
      <c r="K193" s="12"/>
      <c r="L193" s="12"/>
      <c r="M193" s="12"/>
      <c r="N193" s="12"/>
      <c r="O193" s="12"/>
      <c r="P193" s="12"/>
    </row>
    <row r="194" spans="2:16">
      <c r="B194" s="12"/>
      <c r="C194" s="12"/>
      <c r="D194" s="12"/>
      <c r="E194" s="12"/>
      <c r="F194" s="12"/>
      <c r="G194" s="12"/>
      <c r="H194" s="12"/>
      <c r="I194" s="12"/>
      <c r="J194" s="12"/>
      <c r="K194" s="12"/>
      <c r="L194" s="12"/>
      <c r="M194" s="12"/>
      <c r="N194" s="12"/>
      <c r="O194" s="12"/>
      <c r="P194" s="12"/>
    </row>
    <row r="195" spans="2:16">
      <c r="B195" s="12"/>
      <c r="C195" s="12"/>
      <c r="D195" s="12"/>
      <c r="E195" s="12"/>
      <c r="F195" s="12"/>
      <c r="G195" s="12"/>
      <c r="H195" s="12"/>
      <c r="I195" s="12"/>
      <c r="J195" s="12"/>
      <c r="K195" s="12"/>
      <c r="L195" s="12"/>
      <c r="M195" s="12"/>
      <c r="N195" s="12"/>
      <c r="O195" s="12"/>
      <c r="P195" s="12"/>
    </row>
    <row r="196" spans="2:16">
      <c r="B196" s="12"/>
      <c r="C196" s="12"/>
      <c r="D196" s="12"/>
      <c r="E196" s="12"/>
      <c r="F196" s="12"/>
      <c r="G196" s="12"/>
      <c r="H196" s="12"/>
      <c r="I196" s="12"/>
      <c r="J196" s="12"/>
      <c r="K196" s="12"/>
      <c r="L196" s="12"/>
      <c r="M196" s="12"/>
      <c r="N196" s="12"/>
      <c r="O196" s="12"/>
      <c r="P196" s="12"/>
    </row>
    <row r="197" spans="2:16">
      <c r="B197" s="12"/>
      <c r="C197" s="12"/>
      <c r="D197" s="12"/>
      <c r="E197" s="12"/>
      <c r="F197" s="12"/>
      <c r="G197" s="12"/>
      <c r="H197" s="12"/>
      <c r="I197" s="12"/>
      <c r="J197" s="12"/>
      <c r="K197" s="12"/>
      <c r="L197" s="12"/>
      <c r="M197" s="12"/>
      <c r="N197" s="12"/>
      <c r="O197" s="12"/>
      <c r="P197" s="12"/>
    </row>
    <row r="198" spans="2:16">
      <c r="B198" s="12"/>
      <c r="C198" s="12"/>
      <c r="D198" s="12"/>
      <c r="E198" s="12"/>
      <c r="F198" s="12"/>
      <c r="G198" s="12"/>
      <c r="H198" s="12"/>
      <c r="I198" s="12"/>
      <c r="J198" s="12"/>
      <c r="K198" s="12"/>
      <c r="L198" s="12"/>
      <c r="M198" s="12"/>
      <c r="N198" s="12"/>
      <c r="O198" s="12"/>
      <c r="P198" s="12"/>
    </row>
    <row r="199" spans="2:16">
      <c r="B199" s="12"/>
      <c r="C199" s="12"/>
      <c r="D199" s="12"/>
      <c r="E199" s="12"/>
      <c r="F199" s="12"/>
      <c r="G199" s="12"/>
      <c r="H199" s="12"/>
      <c r="I199" s="12"/>
      <c r="J199" s="12"/>
      <c r="K199" s="12"/>
      <c r="L199" s="12"/>
      <c r="M199" s="12"/>
      <c r="N199" s="12"/>
      <c r="O199" s="12"/>
      <c r="P199" s="12"/>
    </row>
    <row r="200" spans="2:16">
      <c r="B200" s="12"/>
      <c r="C200" s="12"/>
      <c r="D200" s="12"/>
      <c r="E200" s="12"/>
      <c r="F200" s="12"/>
      <c r="G200" s="12"/>
      <c r="H200" s="12"/>
      <c r="I200" s="12"/>
      <c r="J200" s="12"/>
      <c r="K200" s="12"/>
      <c r="L200" s="12"/>
      <c r="M200" s="12"/>
      <c r="N200" s="12"/>
      <c r="O200" s="12"/>
      <c r="P200" s="12"/>
    </row>
    <row r="201" spans="2:16">
      <c r="B201" s="12"/>
      <c r="C201" s="12"/>
      <c r="D201" s="12"/>
      <c r="E201" s="12"/>
      <c r="F201" s="12"/>
      <c r="G201" s="12"/>
      <c r="H201" s="12"/>
      <c r="I201" s="12"/>
      <c r="J201" s="12"/>
      <c r="K201" s="12"/>
      <c r="L201" s="12"/>
      <c r="M201" s="12"/>
      <c r="N201" s="12"/>
      <c r="O201" s="12"/>
      <c r="P201" s="12"/>
    </row>
    <row r="202" spans="2:16">
      <c r="B202" s="12"/>
      <c r="C202" s="12"/>
      <c r="D202" s="12"/>
      <c r="E202" s="12"/>
      <c r="F202" s="12"/>
      <c r="G202" s="12"/>
      <c r="H202" s="12"/>
      <c r="I202" s="12"/>
      <c r="J202" s="12"/>
      <c r="K202" s="12"/>
      <c r="L202" s="12"/>
      <c r="M202" s="12"/>
      <c r="N202" s="12"/>
      <c r="O202" s="12"/>
      <c r="P202" s="12"/>
    </row>
    <row r="203" spans="2:16">
      <c r="B203" s="12"/>
      <c r="C203" s="12"/>
      <c r="D203" s="12"/>
      <c r="E203" s="12"/>
      <c r="F203" s="12"/>
      <c r="G203" s="12"/>
      <c r="H203" s="12"/>
      <c r="I203" s="12"/>
      <c r="J203" s="12"/>
      <c r="K203" s="12"/>
      <c r="L203" s="12"/>
      <c r="M203" s="12"/>
      <c r="N203" s="12"/>
      <c r="O203" s="12"/>
      <c r="P203" s="12"/>
    </row>
    <row r="204" spans="2:16">
      <c r="B204" s="12"/>
      <c r="C204" s="12"/>
      <c r="D204" s="12"/>
      <c r="E204" s="12"/>
      <c r="F204" s="12"/>
      <c r="G204" s="12"/>
      <c r="H204" s="12"/>
      <c r="I204" s="12"/>
      <c r="J204" s="12"/>
      <c r="K204" s="12"/>
      <c r="L204" s="12"/>
      <c r="M204" s="12"/>
      <c r="N204" s="12"/>
      <c r="O204" s="12"/>
      <c r="P204" s="12"/>
    </row>
    <row r="205" spans="2:16">
      <c r="B205" s="12"/>
      <c r="C205" s="12"/>
      <c r="D205" s="12"/>
      <c r="E205" s="12"/>
      <c r="F205" s="12"/>
      <c r="G205" s="12"/>
      <c r="H205" s="12"/>
      <c r="I205" s="12"/>
      <c r="J205" s="12"/>
      <c r="K205" s="12"/>
      <c r="L205" s="12"/>
      <c r="M205" s="12"/>
      <c r="N205" s="12"/>
      <c r="O205" s="12"/>
      <c r="P205" s="12"/>
    </row>
    <row r="206" spans="2:16">
      <c r="B206" s="12"/>
      <c r="C206" s="12"/>
      <c r="D206" s="12"/>
      <c r="E206" s="12"/>
      <c r="F206" s="12"/>
      <c r="G206" s="12"/>
      <c r="H206" s="12"/>
      <c r="I206" s="12"/>
      <c r="J206" s="12"/>
      <c r="K206" s="12"/>
      <c r="L206" s="12"/>
      <c r="M206" s="12"/>
      <c r="N206" s="12"/>
      <c r="O206" s="12"/>
      <c r="P206" s="12"/>
    </row>
    <row r="207" spans="2:16">
      <c r="B207" s="12"/>
      <c r="C207" s="12"/>
      <c r="D207" s="12"/>
      <c r="E207" s="12"/>
      <c r="F207" s="12"/>
      <c r="G207" s="12"/>
      <c r="H207" s="12"/>
      <c r="I207" s="12"/>
      <c r="J207" s="12"/>
      <c r="K207" s="12"/>
      <c r="L207" s="12"/>
      <c r="M207" s="12"/>
      <c r="N207" s="12"/>
      <c r="O207" s="12"/>
      <c r="P207" s="12"/>
    </row>
    <row r="208" spans="2:16">
      <c r="B208" s="12"/>
      <c r="C208" s="12"/>
      <c r="D208" s="12"/>
      <c r="E208" s="12"/>
      <c r="F208" s="12"/>
      <c r="G208" s="12"/>
      <c r="H208" s="12"/>
      <c r="I208" s="12"/>
      <c r="J208" s="12"/>
      <c r="K208" s="12"/>
      <c r="L208" s="12"/>
      <c r="M208" s="12"/>
      <c r="N208" s="12"/>
      <c r="O208" s="12"/>
      <c r="P208" s="12"/>
    </row>
    <row r="209" spans="2:16">
      <c r="B209" s="12"/>
      <c r="C209" s="12"/>
      <c r="D209" s="12"/>
      <c r="E209" s="12"/>
      <c r="F209" s="12"/>
      <c r="G209" s="12"/>
      <c r="H209" s="12"/>
      <c r="I209" s="12"/>
      <c r="J209" s="12"/>
      <c r="K209" s="12"/>
      <c r="L209" s="12"/>
      <c r="M209" s="12"/>
      <c r="N209" s="12"/>
      <c r="O209" s="12"/>
      <c r="P209" s="12"/>
    </row>
    <row r="210" spans="2:16">
      <c r="B210" s="12"/>
      <c r="C210" s="12"/>
      <c r="D210" s="12"/>
      <c r="E210" s="12"/>
      <c r="F210" s="12"/>
      <c r="G210" s="12"/>
      <c r="H210" s="12"/>
      <c r="I210" s="12"/>
      <c r="J210" s="12"/>
      <c r="K210" s="12"/>
      <c r="L210" s="12"/>
      <c r="M210" s="12"/>
      <c r="N210" s="12"/>
      <c r="O210" s="12"/>
      <c r="P210" s="12"/>
    </row>
    <row r="211" spans="2:16">
      <c r="B211" s="12"/>
      <c r="C211" s="12"/>
      <c r="D211" s="12"/>
      <c r="E211" s="12"/>
      <c r="F211" s="12"/>
      <c r="G211" s="12"/>
      <c r="H211" s="12"/>
      <c r="I211" s="12"/>
      <c r="J211" s="12"/>
      <c r="K211" s="12"/>
      <c r="L211" s="12"/>
      <c r="M211" s="12"/>
      <c r="N211" s="12"/>
      <c r="O211" s="12"/>
      <c r="P211" s="12"/>
    </row>
    <row r="212" spans="2:16">
      <c r="B212" s="12"/>
      <c r="C212" s="12"/>
      <c r="D212" s="12"/>
      <c r="E212" s="12"/>
      <c r="F212" s="12"/>
      <c r="G212" s="12"/>
      <c r="H212" s="12"/>
      <c r="I212" s="12"/>
      <c r="J212" s="12"/>
      <c r="K212" s="12"/>
      <c r="L212" s="12"/>
      <c r="M212" s="12"/>
      <c r="N212" s="12"/>
      <c r="O212" s="12"/>
      <c r="P212" s="12"/>
    </row>
    <row r="213" spans="2:16">
      <c r="B213" s="12"/>
      <c r="C213" s="12"/>
      <c r="D213" s="12"/>
      <c r="E213" s="12"/>
      <c r="F213" s="12"/>
      <c r="G213" s="12"/>
      <c r="H213" s="12"/>
      <c r="I213" s="12"/>
      <c r="J213" s="12"/>
      <c r="K213" s="12"/>
      <c r="L213" s="12"/>
      <c r="M213" s="12"/>
      <c r="N213" s="12"/>
      <c r="O213" s="12"/>
      <c r="P213" s="12"/>
    </row>
    <row r="214" spans="2:16">
      <c r="B214" s="12"/>
      <c r="C214" s="12"/>
      <c r="D214" s="12"/>
      <c r="E214" s="12"/>
      <c r="F214" s="12"/>
      <c r="G214" s="12"/>
      <c r="H214" s="12"/>
      <c r="I214" s="12"/>
      <c r="J214" s="12"/>
      <c r="K214" s="12"/>
      <c r="L214" s="12"/>
      <c r="M214" s="12"/>
      <c r="N214" s="12"/>
      <c r="O214" s="12"/>
      <c r="P214" s="12"/>
    </row>
    <row r="215" spans="2:16">
      <c r="B215" s="12"/>
      <c r="C215" s="12"/>
      <c r="D215" s="12"/>
      <c r="E215" s="12"/>
      <c r="F215" s="12"/>
      <c r="G215" s="12"/>
      <c r="H215" s="12"/>
      <c r="I215" s="12"/>
      <c r="J215" s="12"/>
      <c r="K215" s="12"/>
      <c r="L215" s="12"/>
      <c r="M215" s="12"/>
      <c r="N215" s="12"/>
      <c r="O215" s="12"/>
      <c r="P215" s="12"/>
    </row>
    <row r="216" spans="2:16">
      <c r="B216" s="12"/>
      <c r="C216" s="12"/>
      <c r="D216" s="12"/>
      <c r="E216" s="12"/>
      <c r="F216" s="12"/>
      <c r="G216" s="12"/>
      <c r="H216" s="12"/>
      <c r="I216" s="12"/>
      <c r="J216" s="12"/>
      <c r="K216" s="12"/>
      <c r="L216" s="12"/>
      <c r="M216" s="12"/>
      <c r="N216" s="12"/>
      <c r="O216" s="12"/>
      <c r="P216" s="12"/>
    </row>
    <row r="217" spans="2:16">
      <c r="B217" s="12"/>
      <c r="C217" s="12"/>
      <c r="D217" s="12"/>
      <c r="E217" s="12"/>
      <c r="F217" s="12"/>
      <c r="G217" s="12"/>
      <c r="H217" s="12"/>
      <c r="I217" s="12"/>
      <c r="J217" s="12"/>
      <c r="K217" s="12"/>
      <c r="L217" s="12"/>
      <c r="M217" s="12"/>
      <c r="N217" s="12"/>
      <c r="O217" s="12"/>
      <c r="P217" s="12"/>
    </row>
    <row r="218" spans="2:16">
      <c r="B218" s="12"/>
      <c r="C218" s="12"/>
      <c r="D218" s="12"/>
      <c r="E218" s="12"/>
      <c r="F218" s="12"/>
      <c r="G218" s="12"/>
      <c r="H218" s="12"/>
      <c r="I218" s="12"/>
      <c r="J218" s="12"/>
      <c r="K218" s="12"/>
      <c r="L218" s="12"/>
      <c r="M218" s="12"/>
      <c r="N218" s="12"/>
      <c r="O218" s="12"/>
      <c r="P218" s="12"/>
    </row>
    <row r="219" spans="2:16">
      <c r="B219" s="12"/>
      <c r="C219" s="12"/>
      <c r="D219" s="12"/>
      <c r="E219" s="12"/>
      <c r="F219" s="12"/>
      <c r="G219" s="12"/>
      <c r="H219" s="12"/>
      <c r="I219" s="12"/>
      <c r="J219" s="12"/>
      <c r="K219" s="12"/>
      <c r="L219" s="12"/>
      <c r="M219" s="12"/>
      <c r="N219" s="12"/>
      <c r="O219" s="12"/>
      <c r="P219" s="12"/>
    </row>
    <row r="220" spans="2:16">
      <c r="B220" s="12"/>
      <c r="C220" s="12"/>
      <c r="D220" s="12"/>
      <c r="E220" s="12"/>
      <c r="F220" s="12"/>
      <c r="G220" s="12"/>
      <c r="H220" s="12"/>
      <c r="I220" s="12"/>
      <c r="J220" s="12"/>
      <c r="K220" s="12"/>
      <c r="L220" s="12"/>
      <c r="M220" s="12"/>
      <c r="N220" s="12"/>
      <c r="O220" s="12"/>
      <c r="P220" s="12"/>
    </row>
    <row r="221" spans="2:16">
      <c r="B221" s="12"/>
      <c r="C221" s="12"/>
      <c r="D221" s="12"/>
      <c r="E221" s="12"/>
      <c r="F221" s="12"/>
      <c r="G221" s="12"/>
      <c r="H221" s="12"/>
      <c r="I221" s="12"/>
      <c r="J221" s="12"/>
      <c r="K221" s="12"/>
      <c r="L221" s="12"/>
      <c r="M221" s="12"/>
      <c r="N221" s="12"/>
      <c r="O221" s="12"/>
      <c r="P221" s="12"/>
    </row>
    <row r="222" spans="2:16">
      <c r="B222" s="12"/>
      <c r="C222" s="12"/>
      <c r="D222" s="12"/>
      <c r="E222" s="12"/>
      <c r="F222" s="12"/>
      <c r="G222" s="12"/>
      <c r="H222" s="12"/>
      <c r="I222" s="12"/>
      <c r="J222" s="12"/>
      <c r="K222" s="12"/>
      <c r="L222" s="12"/>
      <c r="M222" s="12"/>
      <c r="N222" s="12"/>
      <c r="O222" s="12"/>
      <c r="P222" s="12"/>
    </row>
    <row r="223" spans="2:16">
      <c r="B223" s="12"/>
      <c r="C223" s="12"/>
      <c r="D223" s="12"/>
      <c r="E223" s="12"/>
      <c r="F223" s="12"/>
      <c r="G223" s="12"/>
      <c r="H223" s="12"/>
      <c r="I223" s="12"/>
      <c r="J223" s="12"/>
      <c r="K223" s="12"/>
      <c r="L223" s="12"/>
      <c r="M223" s="12"/>
      <c r="N223" s="12"/>
      <c r="O223" s="12"/>
      <c r="P223" s="12"/>
    </row>
    <row r="224" spans="2:16">
      <c r="B224" s="12"/>
      <c r="C224" s="12"/>
      <c r="D224" s="12"/>
      <c r="E224" s="12"/>
      <c r="F224" s="12"/>
      <c r="G224" s="12"/>
      <c r="H224" s="12"/>
      <c r="I224" s="12"/>
      <c r="J224" s="12"/>
      <c r="K224" s="12"/>
      <c r="L224" s="12"/>
      <c r="M224" s="12"/>
      <c r="N224" s="12"/>
      <c r="O224" s="12"/>
      <c r="P224" s="12"/>
    </row>
    <row r="225" spans="2:16">
      <c r="B225" s="12"/>
      <c r="C225" s="12"/>
      <c r="D225" s="12"/>
      <c r="E225" s="12"/>
      <c r="F225" s="12"/>
      <c r="G225" s="12"/>
      <c r="H225" s="12"/>
      <c r="I225" s="12"/>
      <c r="J225" s="12"/>
      <c r="K225" s="12"/>
      <c r="L225" s="12"/>
      <c r="M225" s="12"/>
      <c r="N225" s="12"/>
      <c r="O225" s="12"/>
      <c r="P225" s="12"/>
    </row>
    <row r="226" spans="2:16">
      <c r="B226" s="12"/>
      <c r="C226" s="12"/>
      <c r="D226" s="12"/>
      <c r="E226" s="12"/>
      <c r="F226" s="12"/>
      <c r="G226" s="12"/>
      <c r="H226" s="12"/>
      <c r="I226" s="12"/>
      <c r="J226" s="12"/>
      <c r="K226" s="12"/>
      <c r="L226" s="12"/>
      <c r="M226" s="12"/>
      <c r="N226" s="12"/>
      <c r="O226" s="12"/>
      <c r="P226" s="12"/>
    </row>
    <row r="227" spans="2:16">
      <c r="B227" s="12"/>
      <c r="C227" s="12"/>
      <c r="D227" s="12"/>
      <c r="E227" s="12"/>
      <c r="F227" s="12"/>
      <c r="G227" s="12"/>
      <c r="H227" s="12"/>
      <c r="I227" s="12"/>
      <c r="J227" s="12"/>
      <c r="K227" s="12"/>
      <c r="L227" s="12"/>
      <c r="M227" s="12"/>
      <c r="N227" s="12"/>
      <c r="O227" s="12"/>
      <c r="P227" s="12"/>
    </row>
    <row r="228" spans="2:16">
      <c r="B228" s="12"/>
      <c r="C228" s="12"/>
      <c r="D228" s="12"/>
      <c r="E228" s="12"/>
      <c r="F228" s="12"/>
      <c r="G228" s="12"/>
      <c r="H228" s="12"/>
      <c r="I228" s="12"/>
      <c r="J228" s="12"/>
      <c r="K228" s="12"/>
      <c r="L228" s="12"/>
      <c r="M228" s="12"/>
      <c r="N228" s="12"/>
      <c r="O228" s="12"/>
      <c r="P228" s="12"/>
    </row>
    <row r="229" spans="2:16">
      <c r="B229" s="12"/>
      <c r="C229" s="12"/>
      <c r="D229" s="12"/>
      <c r="E229" s="12"/>
      <c r="F229" s="12"/>
      <c r="G229" s="12"/>
      <c r="H229" s="12"/>
      <c r="I229" s="12"/>
      <c r="J229" s="12"/>
      <c r="K229" s="12"/>
      <c r="L229" s="12"/>
      <c r="M229" s="12"/>
      <c r="N229" s="12"/>
      <c r="O229" s="12"/>
      <c r="P229" s="12"/>
    </row>
    <row r="230" spans="2:16">
      <c r="B230" s="12"/>
      <c r="C230" s="12"/>
      <c r="D230" s="12"/>
      <c r="E230" s="12"/>
      <c r="F230" s="12"/>
      <c r="G230" s="12"/>
      <c r="H230" s="12"/>
      <c r="I230" s="12"/>
      <c r="J230" s="12"/>
      <c r="K230" s="12"/>
      <c r="L230" s="12"/>
      <c r="M230" s="12"/>
      <c r="N230" s="12"/>
      <c r="O230" s="12"/>
      <c r="P230" s="12"/>
    </row>
    <row r="231" spans="2:16">
      <c r="B231" s="12"/>
      <c r="C231" s="12"/>
      <c r="D231" s="12"/>
      <c r="E231" s="12"/>
      <c r="F231" s="12"/>
      <c r="G231" s="12"/>
      <c r="H231" s="12"/>
      <c r="I231" s="12"/>
      <c r="J231" s="12"/>
      <c r="K231" s="12"/>
      <c r="L231" s="12"/>
      <c r="M231" s="12"/>
      <c r="N231" s="12"/>
      <c r="O231" s="12"/>
      <c r="P231" s="12"/>
    </row>
    <row r="232" spans="2:16">
      <c r="B232" s="12"/>
      <c r="C232" s="12"/>
      <c r="D232" s="12"/>
      <c r="E232" s="12"/>
      <c r="F232" s="12"/>
      <c r="G232" s="12"/>
      <c r="H232" s="12"/>
      <c r="I232" s="12"/>
      <c r="J232" s="12"/>
      <c r="K232" s="12"/>
      <c r="L232" s="12"/>
      <c r="M232" s="12"/>
      <c r="N232" s="12"/>
      <c r="O232" s="12"/>
      <c r="P232" s="12"/>
    </row>
    <row r="233" spans="2:16">
      <c r="B233" s="12"/>
      <c r="C233" s="12"/>
      <c r="D233" s="12"/>
      <c r="E233" s="12"/>
      <c r="F233" s="12"/>
      <c r="G233" s="12"/>
      <c r="H233" s="12"/>
      <c r="I233" s="12"/>
      <c r="J233" s="12"/>
      <c r="K233" s="12"/>
      <c r="L233" s="12"/>
      <c r="M233" s="12"/>
      <c r="N233" s="12"/>
      <c r="O233" s="12"/>
      <c r="P233" s="12"/>
    </row>
    <row r="234" spans="2:16">
      <c r="B234" s="12"/>
      <c r="C234" s="12"/>
      <c r="D234" s="12"/>
      <c r="E234" s="12"/>
      <c r="F234" s="12"/>
      <c r="G234" s="12"/>
      <c r="H234" s="12"/>
      <c r="I234" s="12"/>
      <c r="J234" s="12"/>
      <c r="K234" s="12"/>
      <c r="L234" s="12"/>
      <c r="M234" s="12"/>
      <c r="N234" s="12"/>
      <c r="O234" s="12"/>
      <c r="P234" s="12"/>
    </row>
    <row r="235" spans="2:16">
      <c r="B235" s="12"/>
      <c r="C235" s="12"/>
      <c r="D235" s="12"/>
      <c r="E235" s="12"/>
      <c r="F235" s="12"/>
      <c r="G235" s="12"/>
      <c r="H235" s="12"/>
      <c r="I235" s="12"/>
      <c r="J235" s="12"/>
      <c r="K235" s="12"/>
      <c r="L235" s="12"/>
      <c r="M235" s="12"/>
      <c r="N235" s="12"/>
      <c r="O235" s="12"/>
      <c r="P235" s="12"/>
    </row>
    <row r="236" spans="2:16">
      <c r="B236" s="12"/>
      <c r="C236" s="12"/>
      <c r="D236" s="12"/>
      <c r="E236" s="12"/>
      <c r="F236" s="12"/>
      <c r="G236" s="12"/>
      <c r="H236" s="12"/>
      <c r="I236" s="12"/>
      <c r="J236" s="12"/>
      <c r="K236" s="12"/>
      <c r="L236" s="12"/>
      <c r="M236" s="12"/>
      <c r="N236" s="12"/>
      <c r="O236" s="12"/>
      <c r="P236" s="12"/>
    </row>
    <row r="237" spans="2:16">
      <c r="B237" s="12"/>
      <c r="C237" s="12"/>
      <c r="D237" s="12"/>
      <c r="E237" s="12"/>
      <c r="F237" s="12"/>
      <c r="G237" s="12"/>
      <c r="H237" s="12"/>
      <c r="I237" s="12"/>
      <c r="J237" s="12"/>
      <c r="K237" s="12"/>
      <c r="L237" s="12"/>
      <c r="M237" s="12"/>
      <c r="N237" s="12"/>
      <c r="O237" s="12"/>
      <c r="P237" s="12"/>
    </row>
    <row r="238" spans="2:16">
      <c r="B238" s="12"/>
      <c r="C238" s="12"/>
      <c r="D238" s="12"/>
      <c r="E238" s="12"/>
      <c r="F238" s="12"/>
      <c r="G238" s="12"/>
      <c r="H238" s="12"/>
      <c r="I238" s="12"/>
      <c r="J238" s="12"/>
      <c r="K238" s="12"/>
      <c r="L238" s="12"/>
      <c r="M238" s="12"/>
      <c r="N238" s="12"/>
      <c r="O238" s="12"/>
      <c r="P238" s="12"/>
    </row>
    <row r="239" spans="2:16">
      <c r="B239" s="12"/>
      <c r="C239" s="12"/>
      <c r="D239" s="12"/>
      <c r="E239" s="12"/>
      <c r="F239" s="12"/>
      <c r="G239" s="12"/>
      <c r="H239" s="12"/>
      <c r="I239" s="12"/>
      <c r="J239" s="12"/>
      <c r="K239" s="12"/>
      <c r="L239" s="12"/>
      <c r="M239" s="12"/>
      <c r="N239" s="12"/>
      <c r="O239" s="12"/>
      <c r="P239" s="12"/>
    </row>
    <row r="240" spans="2:16">
      <c r="B240" s="12"/>
      <c r="C240" s="12"/>
      <c r="D240" s="12"/>
      <c r="E240" s="12"/>
      <c r="F240" s="12"/>
      <c r="G240" s="12"/>
      <c r="H240" s="12"/>
      <c r="I240" s="12"/>
      <c r="J240" s="12"/>
      <c r="K240" s="12"/>
      <c r="L240" s="12"/>
      <c r="M240" s="12"/>
      <c r="N240" s="12"/>
      <c r="O240" s="12"/>
      <c r="P240" s="12"/>
    </row>
    <row r="241" spans="2:16">
      <c r="B241" s="12"/>
      <c r="C241" s="12"/>
      <c r="D241" s="12"/>
      <c r="E241" s="12"/>
      <c r="F241" s="12"/>
      <c r="G241" s="12"/>
      <c r="H241" s="12"/>
      <c r="I241" s="12"/>
      <c r="J241" s="12"/>
      <c r="K241" s="12"/>
      <c r="L241" s="12"/>
      <c r="M241" s="12"/>
      <c r="N241" s="12"/>
      <c r="O241" s="12"/>
      <c r="P241" s="12"/>
    </row>
    <row r="242" spans="2:16">
      <c r="B242" s="12"/>
      <c r="C242" s="12"/>
      <c r="D242" s="12"/>
      <c r="E242" s="12"/>
      <c r="F242" s="12"/>
      <c r="G242" s="12"/>
      <c r="H242" s="12"/>
      <c r="I242" s="12"/>
      <c r="J242" s="12"/>
      <c r="K242" s="12"/>
      <c r="L242" s="12"/>
      <c r="M242" s="12"/>
      <c r="N242" s="12"/>
      <c r="O242" s="12"/>
      <c r="P242" s="12"/>
    </row>
    <row r="243" spans="2:16">
      <c r="B243" s="12"/>
      <c r="C243" s="12"/>
      <c r="D243" s="12"/>
      <c r="E243" s="12"/>
      <c r="F243" s="12"/>
      <c r="G243" s="12"/>
      <c r="H243" s="12"/>
      <c r="I243" s="12"/>
      <c r="J243" s="12"/>
      <c r="K243" s="12"/>
      <c r="L243" s="12"/>
      <c r="M243" s="12"/>
      <c r="N243" s="12"/>
      <c r="O243" s="12"/>
      <c r="P243" s="12"/>
    </row>
    <row r="244" spans="2:16">
      <c r="B244" s="12"/>
      <c r="C244" s="12"/>
      <c r="D244" s="12"/>
      <c r="E244" s="12"/>
      <c r="F244" s="12"/>
      <c r="G244" s="12"/>
      <c r="H244" s="12"/>
      <c r="I244" s="12"/>
      <c r="J244" s="12"/>
      <c r="K244" s="12"/>
      <c r="L244" s="12"/>
      <c r="M244" s="12"/>
      <c r="N244" s="12"/>
      <c r="O244" s="12"/>
      <c r="P244" s="12"/>
    </row>
    <row r="245" spans="2:16">
      <c r="B245" s="12"/>
      <c r="C245" s="12"/>
      <c r="D245" s="12"/>
      <c r="E245" s="12"/>
      <c r="F245" s="12"/>
      <c r="G245" s="12"/>
      <c r="H245" s="12"/>
      <c r="I245" s="12"/>
      <c r="J245" s="12"/>
      <c r="K245" s="12"/>
      <c r="L245" s="12"/>
      <c r="M245" s="12"/>
      <c r="N245" s="12"/>
      <c r="O245" s="12"/>
      <c r="P245" s="12"/>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178"/>
  <sheetViews>
    <sheetView workbookViewId="0"/>
  </sheetViews>
  <sheetFormatPr defaultColWidth="12.5703125" defaultRowHeight="15.75" customHeight="1"/>
  <cols>
    <col min="1" max="1" width="36.85546875" customWidth="1"/>
  </cols>
  <sheetData>
    <row r="1" spans="1:19">
      <c r="A1" s="34" t="str">
        <f>BD!A1</f>
        <v>Claudinei Rogério Gasparoto</v>
      </c>
      <c r="B1" s="150" t="s">
        <v>461</v>
      </c>
      <c r="C1" s="150" t="str">
        <f t="shared" ref="C1:C6" ca="1" si="0">OFFSET(D1,0,$A$147)</f>
        <v>Av15</v>
      </c>
      <c r="D1" s="151" t="s">
        <v>37</v>
      </c>
      <c r="E1" s="12" t="str">
        <f>BD!B1</f>
        <v>Av1</v>
      </c>
      <c r="F1" s="12" t="str">
        <f>IF(F$148,BD!C1,"")</f>
        <v>Av2</v>
      </c>
      <c r="G1" s="12" t="str">
        <f>IF(G$148,BD!D1,"")</f>
        <v>Av3</v>
      </c>
      <c r="H1" s="12" t="str">
        <f>IF(H$148,BD!E1,"")</f>
        <v>Av4</v>
      </c>
      <c r="I1" s="12" t="str">
        <f>IF(I$148,BD!F1,"")</f>
        <v>Av5</v>
      </c>
      <c r="J1" s="12" t="str">
        <f>IF(J$148,BD!G1,"")</f>
        <v>Av6</v>
      </c>
      <c r="K1" s="12" t="str">
        <f>IF(K$148,BD!H1,"")</f>
        <v>Av7</v>
      </c>
      <c r="L1" s="12" t="str">
        <f>IF(L$148,BD!I1,"")</f>
        <v>Av8</v>
      </c>
      <c r="M1" s="12" t="str">
        <f>IF(M$148,BD!J1,"")</f>
        <v>Av9</v>
      </c>
      <c r="N1" s="12" t="str">
        <f>IF(N$148,BD!K1,"")</f>
        <v>Av10</v>
      </c>
      <c r="O1" s="12" t="str">
        <f>IF(O$148,BD!L1,"")</f>
        <v>Av11</v>
      </c>
      <c r="P1" s="12" t="str">
        <f>IF(P$148,BD!M1,"")</f>
        <v>Av12</v>
      </c>
      <c r="Q1" s="12" t="str">
        <f>IF(Q$148,BD!N1,"")</f>
        <v>Av13</v>
      </c>
      <c r="R1" s="12" t="str">
        <f>IF(R$148,BD!O1,"")</f>
        <v>Av14</v>
      </c>
      <c r="S1" s="12" t="str">
        <f>IF(S$148,BD!P1,"")</f>
        <v>Av15</v>
      </c>
    </row>
    <row r="2" spans="1:19">
      <c r="A2" s="34" t="str">
        <f>BD!A2</f>
        <v>Data da avaliação(DD/MM/YYYY)</v>
      </c>
      <c r="B2" s="152">
        <f t="shared" ref="B2:B6" si="1">E2</f>
        <v>44517</v>
      </c>
      <c r="C2" s="152">
        <f t="shared" ca="1" si="0"/>
        <v>0</v>
      </c>
      <c r="D2" s="150"/>
      <c r="E2" s="112">
        <f>BD!B2</f>
        <v>44517</v>
      </c>
      <c r="F2" s="112">
        <f>BD!C2</f>
        <v>44733</v>
      </c>
      <c r="G2" s="112">
        <f>BD!D2</f>
        <v>44949</v>
      </c>
      <c r="H2" s="112">
        <f>BD!E2</f>
        <v>45078</v>
      </c>
      <c r="I2" s="112">
        <f>BD!F2</f>
        <v>45301</v>
      </c>
      <c r="J2" s="112">
        <f>BD!G2</f>
        <v>45433</v>
      </c>
      <c r="K2" s="112">
        <f>BD!H2</f>
        <v>45611</v>
      </c>
      <c r="L2" s="112">
        <f>BD!I2</f>
        <v>45752</v>
      </c>
      <c r="M2" s="112">
        <f>BD!J2</f>
        <v>45829</v>
      </c>
      <c r="N2" s="112">
        <f>BD!K2</f>
        <v>45938</v>
      </c>
      <c r="O2" s="112">
        <f>BD!L2</f>
        <v>45993</v>
      </c>
      <c r="P2" s="112">
        <f>BD!M2</f>
        <v>46064</v>
      </c>
      <c r="Q2" s="112">
        <f>BD!N2</f>
        <v>0</v>
      </c>
      <c r="R2" s="112">
        <f>BD!O2</f>
        <v>0</v>
      </c>
      <c r="S2" s="112">
        <f>BD!P2</f>
        <v>0</v>
      </c>
    </row>
    <row r="3" spans="1:19">
      <c r="A3" s="34" t="str">
        <f>BD!A3</f>
        <v>Hora da avaliação(hh:mm)</v>
      </c>
      <c r="B3" s="153">
        <f t="shared" si="1"/>
        <v>0.47916666666666669</v>
      </c>
      <c r="C3" s="153">
        <f t="shared" ca="1" si="0"/>
        <v>0</v>
      </c>
      <c r="D3" s="150"/>
      <c r="E3" s="146">
        <f>BD!B3</f>
        <v>0.47916666666666669</v>
      </c>
      <c r="F3" s="146">
        <f>BD!C3</f>
        <v>0.47916666666666669</v>
      </c>
      <c r="G3" s="146">
        <f>BD!D3</f>
        <v>0.47916666666666669</v>
      </c>
      <c r="H3" s="146">
        <f>BD!E3</f>
        <v>0.47916666666666669</v>
      </c>
      <c r="I3" s="146">
        <f>BD!F3</f>
        <v>0.625</v>
      </c>
      <c r="J3" s="146">
        <f>BD!G3</f>
        <v>0.58333333333333337</v>
      </c>
      <c r="K3" s="146">
        <f>BD!H3</f>
        <v>0.33333333333333331</v>
      </c>
      <c r="L3" s="146">
        <f>BD!I3</f>
        <v>0.375</v>
      </c>
      <c r="M3" s="146">
        <f>BD!J3</f>
        <v>0.33333333333333331</v>
      </c>
      <c r="N3" s="146">
        <f>BD!K3</f>
        <v>0.33333333333333331</v>
      </c>
      <c r="O3" s="146">
        <f>BD!L3</f>
        <v>0.33333333333333331</v>
      </c>
      <c r="P3" s="146">
        <f>BD!M3</f>
        <v>0.72916666666666663</v>
      </c>
      <c r="Q3" s="146">
        <f>BD!N3</f>
        <v>0</v>
      </c>
      <c r="R3" s="146">
        <f>BD!O3</f>
        <v>0</v>
      </c>
      <c r="S3" s="146">
        <f>BD!P3</f>
        <v>0</v>
      </c>
    </row>
    <row r="4" spans="1:19">
      <c r="A4" s="34" t="str">
        <f>BD!A4</f>
        <v>Avaliador</v>
      </c>
      <c r="B4" s="150" t="str">
        <f t="shared" si="1"/>
        <v>Luis Felipe</v>
      </c>
      <c r="C4" s="150">
        <f t="shared" ca="1" si="0"/>
        <v>0</v>
      </c>
      <c r="D4" s="150"/>
      <c r="E4" s="12" t="str">
        <f>BD!B4</f>
        <v>Luis Felipe</v>
      </c>
      <c r="F4" s="12" t="str">
        <f>BD!C4</f>
        <v>Luis Felipe</v>
      </c>
      <c r="G4" s="12" t="str">
        <f>BD!D4</f>
        <v>Luis Felipe</v>
      </c>
      <c r="H4" s="12" t="str">
        <f>BD!E4</f>
        <v>Luis Felipe</v>
      </c>
      <c r="I4" s="12" t="str">
        <f>BD!F4</f>
        <v>Luis Felipe</v>
      </c>
      <c r="J4" s="12" t="str">
        <f>BD!G4</f>
        <v>Luis Felipe</v>
      </c>
      <c r="K4" s="12" t="str">
        <f>BD!H4</f>
        <v>Luis Felipe</v>
      </c>
      <c r="L4" s="12" t="str">
        <f>BD!I4</f>
        <v>Luis Felipe</v>
      </c>
      <c r="M4" s="12" t="str">
        <f>BD!J4</f>
        <v>Luis Felipe</v>
      </c>
      <c r="N4" s="12" t="str">
        <f>BD!K4</f>
        <v>Luis Felipe</v>
      </c>
      <c r="O4" s="12" t="str">
        <f>BD!L4</f>
        <v>Luis Felipe</v>
      </c>
      <c r="P4" s="12" t="str">
        <f>BD!M4</f>
        <v>Luis Felipe</v>
      </c>
      <c r="Q4" s="12">
        <f>BD!N4</f>
        <v>0</v>
      </c>
      <c r="R4" s="12">
        <f>BD!O4</f>
        <v>0</v>
      </c>
      <c r="S4" s="12">
        <f>BD!P4</f>
        <v>0</v>
      </c>
    </row>
    <row r="5" spans="1:19">
      <c r="A5" s="34" t="str">
        <f>BD!A5</f>
        <v>Idade</v>
      </c>
      <c r="B5" s="150">
        <f t="shared" si="1"/>
        <v>49</v>
      </c>
      <c r="C5" s="150" t="str">
        <f t="shared" ca="1" si="0"/>
        <v/>
      </c>
      <c r="D5" s="150"/>
      <c r="E5" s="12">
        <f>BD!B5</f>
        <v>49</v>
      </c>
      <c r="F5" s="12">
        <f>BD!C5</f>
        <v>50</v>
      </c>
      <c r="G5" s="12">
        <f>BD!D5</f>
        <v>50</v>
      </c>
      <c r="H5" s="12">
        <f>BD!E5</f>
        <v>50</v>
      </c>
      <c r="I5" s="12">
        <f>BD!F5</f>
        <v>51</v>
      </c>
      <c r="J5" s="12">
        <f>BD!G5</f>
        <v>51</v>
      </c>
      <c r="K5" s="12">
        <f>BD!H5</f>
        <v>52</v>
      </c>
      <c r="L5" s="12">
        <f>BD!I5</f>
        <v>52</v>
      </c>
      <c r="M5" s="12">
        <f>BD!J5</f>
        <v>53</v>
      </c>
      <c r="N5" s="12">
        <f>BD!K5</f>
        <v>53</v>
      </c>
      <c r="O5" s="12">
        <f>BD!L5</f>
        <v>53</v>
      </c>
      <c r="P5" s="12">
        <f>BD!M5</f>
        <v>53</v>
      </c>
      <c r="Q5" s="12" t="str">
        <f>BD!N5</f>
        <v/>
      </c>
      <c r="R5" s="12" t="str">
        <f>BD!O5</f>
        <v/>
      </c>
      <c r="S5" s="12" t="str">
        <f>BD!P5</f>
        <v/>
      </c>
    </row>
    <row r="6" spans="1:19">
      <c r="A6" s="34" t="str">
        <f>BD!A6</f>
        <v>Data da reavaliação</v>
      </c>
      <c r="B6" s="152">
        <f t="shared" si="1"/>
        <v>44573</v>
      </c>
      <c r="C6" s="152" t="str">
        <f t="shared" ca="1" si="0"/>
        <v/>
      </c>
      <c r="D6" s="150"/>
      <c r="E6" s="112">
        <f>BD!B6</f>
        <v>44573</v>
      </c>
      <c r="F6" s="112">
        <f>BD!C6</f>
        <v>44789</v>
      </c>
      <c r="G6" s="112">
        <f>BD!D6</f>
        <v>45005</v>
      </c>
      <c r="H6" s="112">
        <f>BD!E6</f>
        <v>45134</v>
      </c>
      <c r="I6" s="112">
        <f>BD!F6</f>
        <v>45357</v>
      </c>
      <c r="J6" s="112">
        <f>BD!G6</f>
        <v>45489</v>
      </c>
      <c r="K6" s="112">
        <f>BD!H6</f>
        <v>45667</v>
      </c>
      <c r="L6" s="112">
        <f>BD!I6</f>
        <v>45808</v>
      </c>
      <c r="M6" s="112">
        <f>BD!J6</f>
        <v>45885</v>
      </c>
      <c r="N6" s="112">
        <f>BD!K6</f>
        <v>45994</v>
      </c>
      <c r="O6" s="112">
        <f>BD!L6</f>
        <v>46049</v>
      </c>
      <c r="P6" s="112">
        <f>BD!M6</f>
        <v>46120</v>
      </c>
      <c r="Q6" s="112" t="str">
        <f>BD!N6</f>
        <v/>
      </c>
      <c r="R6" s="112" t="str">
        <f>BD!O6</f>
        <v/>
      </c>
      <c r="S6" s="112" t="str">
        <f>BD!P6</f>
        <v/>
      </c>
    </row>
    <row r="7" spans="1:19">
      <c r="B7" s="154"/>
      <c r="C7" s="150"/>
      <c r="D7" s="150"/>
      <c r="E7" s="12"/>
      <c r="F7" s="12"/>
      <c r="G7" s="12"/>
      <c r="H7" s="12"/>
      <c r="I7" s="12"/>
      <c r="J7" s="12"/>
      <c r="K7" s="12"/>
      <c r="L7" s="12"/>
      <c r="M7" s="12"/>
      <c r="N7" s="12"/>
      <c r="O7" s="12"/>
      <c r="P7" s="12"/>
      <c r="Q7" s="12"/>
      <c r="R7" s="12"/>
      <c r="S7" s="12"/>
    </row>
    <row r="8" spans="1:19">
      <c r="A8" s="34" t="str">
        <f>BD!A8</f>
        <v>Peso (kg)</v>
      </c>
      <c r="B8" s="150" t="e">
        <f t="shared" ref="B8:B9" ca="1" si="2">_xludf.IFS($E8+0&gt;0,$E8,$F8+0&gt;0,$F8,$G8+0&gt;0,$G8,$H8+0&gt;0,$H8,$I8+0&gt;0,$I8,$J8+0&gt;0,$J8,$K8+0&gt;0,$K8,$L8+0&gt;0,$L8,$M8+0&gt;0,$M8,$N8+0&gt;0,$N8,$O8+0&gt;0,$O8,$P8+0&gt;0,$P8,$Q8+0&gt;0,$Q8,$R8+0&gt;0,$R8,$S8+0&gt;0,$S8,TRUE(),"-")</f>
        <v>#NAME?</v>
      </c>
      <c r="C8" s="155">
        <f t="shared" ref="C8:C9" ca="1" si="3">OFFSET(D8,0,$A$147)</f>
        <v>70</v>
      </c>
      <c r="D8" s="156" t="e">
        <f t="shared" ref="D8:D9" ca="1" si="4">IF(OR(B8=0,B8="-"),"-",((C8-B8)/B8)*100)</f>
        <v>#NAME?</v>
      </c>
      <c r="E8" s="147">
        <f>IF(E$2,IF(BD!B8="-",0,BD!B8+0),0)</f>
        <v>75.7</v>
      </c>
      <c r="F8" s="147">
        <f>IF(F$148,IF(OR(BD!C8=0,BD!C8="-"),E8,BD!C8),"")</f>
        <v>68</v>
      </c>
      <c r="G8" s="147">
        <f>IF(G$148,IF(OR(BD!D8=0,BD!D8="-"),F8,BD!D8),"")</f>
        <v>62.7</v>
      </c>
      <c r="H8" s="147">
        <f>IF(H$148,IF(OR(BD!E8=0,BD!E8="-"),G8,BD!E8),"")</f>
        <v>64.900000000000006</v>
      </c>
      <c r="I8" s="147">
        <f>IF(I$148,IF(OR(BD!F8=0,BD!F8="-"),H8,BD!F8),"")</f>
        <v>67.7</v>
      </c>
      <c r="J8" s="147">
        <f>IF(J$148,IF(OR(BD!G8=0,BD!G8="-"),I8,BD!G8),"")</f>
        <v>67.599999999999994</v>
      </c>
      <c r="K8" s="147">
        <f>IF(K$148,IF(OR(BD!H8=0,BD!H8="-"),J8,BD!H8),"")</f>
        <v>67.599999999999994</v>
      </c>
      <c r="L8" s="147">
        <f>IF(L$148,IF(OR(BD!I8=0,BD!I8="-"),K8,BD!I8),"")</f>
        <v>70.7</v>
      </c>
      <c r="M8" s="147">
        <f>IF(M$148,IF(OR(BD!J8=0,BD!J8="-"),L8,BD!J8),"")</f>
        <v>69</v>
      </c>
      <c r="N8" s="147">
        <f>IF(N$148,IF(OR(BD!K8=0,BD!K8="-"),M8,BD!K8),"")</f>
        <v>68.599999999999994</v>
      </c>
      <c r="O8" s="147">
        <f>IF(O$148,IF(OR(BD!L8=0,BD!L8="-"),N8,BD!L8),"")</f>
        <v>67</v>
      </c>
      <c r="P8" s="147">
        <f>IF(P$148,IF(OR(BD!M8=0,BD!M8="-"),O8,BD!M8),"")</f>
        <v>70</v>
      </c>
      <c r="Q8" s="12">
        <f>IF(Q$148,IF(OR(BD!N8=0,BD!N8="-"),P8,BD!N8),"")</f>
        <v>70</v>
      </c>
      <c r="R8" s="12">
        <f>IF(R$148,IF(OR(BD!O8=0,BD!O8="-"),Q8,BD!O8),"")</f>
        <v>70</v>
      </c>
      <c r="S8" s="12">
        <f>IF(S$148,IF(OR(BD!P8=0,BD!P8="-"),R8,BD!P8),"")</f>
        <v>70</v>
      </c>
    </row>
    <row r="9" spans="1:19">
      <c r="A9" s="34" t="str">
        <f>BD!A9</f>
        <v>Estatura (cm)</v>
      </c>
      <c r="B9" s="150" t="e">
        <f t="shared" ca="1" si="2"/>
        <v>#NAME?</v>
      </c>
      <c r="C9" s="155">
        <f t="shared" ca="1" si="3"/>
        <v>172</v>
      </c>
      <c r="D9" s="156" t="e">
        <f t="shared" ca="1" si="4"/>
        <v>#NAME?</v>
      </c>
      <c r="E9" s="147">
        <f>IF(E$2,IF(BD!B9="-",0,BD!B9+0),0)</f>
        <v>172.8</v>
      </c>
      <c r="F9" s="147">
        <f>IF(F$148,IF(OR(BD!C9=0,BD!C9="-"),E9,BD!C9),"")</f>
        <v>172</v>
      </c>
      <c r="G9" s="147">
        <f>IF(G$148,IF(OR(BD!D9=0,BD!D9="-"),F9,BD!D9),"")</f>
        <v>172</v>
      </c>
      <c r="H9" s="147">
        <f>IF(H$148,IF(OR(BD!E9=0,BD!E9="-"),G9,BD!E9),"")</f>
        <v>172</v>
      </c>
      <c r="I9" s="147">
        <f>IF(I$148,IF(OR(BD!F9=0,BD!F9="-"),H9,BD!F9),"")</f>
        <v>172</v>
      </c>
      <c r="J9" s="147">
        <f>IF(J$148,IF(OR(BD!G9=0,BD!G9="-"),I9,BD!G9),"")</f>
        <v>172</v>
      </c>
      <c r="K9" s="147">
        <f>IF(K$148,IF(OR(BD!H9=0,BD!H9="-"),J9,BD!H9),"")</f>
        <v>172</v>
      </c>
      <c r="L9" s="147">
        <f>IF(L$148,IF(OR(BD!I9=0,BD!I9="-"),K9,BD!I9),"")</f>
        <v>172</v>
      </c>
      <c r="M9" s="147">
        <f>IF(M$148,IF(OR(BD!J9=0,BD!J9="-"),L9,BD!J9),"")</f>
        <v>172</v>
      </c>
      <c r="N9" s="147">
        <f>IF(N$148,IF(OR(BD!K9=0,BD!K9="-"),M9,BD!K9),"")</f>
        <v>172</v>
      </c>
      <c r="O9" s="147">
        <f>IF(O$148,IF(OR(BD!L9=0,BD!L9="-"),N9,BD!L9),"")</f>
        <v>172</v>
      </c>
      <c r="P9" s="147">
        <f>IF(P$148,IF(OR(BD!M9=0,BD!M9="-"),O9,BD!M9),"")</f>
        <v>172</v>
      </c>
      <c r="Q9" s="12">
        <f>IF(Q$148,IF(OR(BD!N9=0,BD!N9="-"),P9,BD!N9),"")</f>
        <v>172</v>
      </c>
      <c r="R9" s="12">
        <f>IF(R$148,IF(OR(BD!O9=0,BD!O9="-"),Q9,BD!O9),"")</f>
        <v>172</v>
      </c>
      <c r="S9" s="12">
        <f>IF(S$148,IF(OR(BD!P9=0,BD!P9="-"),R9,BD!P9),"")</f>
        <v>172</v>
      </c>
    </row>
    <row r="10" spans="1:19">
      <c r="B10" s="154"/>
      <c r="C10" s="150"/>
      <c r="D10" s="156"/>
      <c r="E10" s="12"/>
      <c r="F10" s="12"/>
      <c r="G10" s="12"/>
      <c r="H10" s="12"/>
      <c r="I10" s="12"/>
      <c r="J10" s="12"/>
      <c r="K10" s="12"/>
      <c r="L10" s="12"/>
      <c r="M10" s="12"/>
      <c r="N10" s="12"/>
      <c r="O10" s="12"/>
      <c r="P10" s="12"/>
      <c r="Q10" s="12"/>
      <c r="R10" s="12"/>
      <c r="S10" s="12"/>
    </row>
    <row r="11" spans="1:19">
      <c r="A11" s="34" t="str">
        <f>BD!A11</f>
        <v>Escapular</v>
      </c>
      <c r="B11" s="155" t="e">
        <f t="shared" ref="B11:B23" ca="1" si="5">_xludf.IFS($E11+0&gt;0,$E11,$F11+0&gt;0,$F11,$G11+0&gt;0,$G11,$H11+0&gt;0,$H11,$I11+0&gt;0,$I11,$J11+0&gt;0,$J11,$K11+0&gt;0,$K11,$L11+0&gt;0,$L11,$M11+0&gt;0,$M11,$N11+0&gt;0,$N11,$O11+0&gt;0,$O11,$P11+0&gt;0,$P11,$Q11+0&gt;0,$Q11,$R11+0&gt;0,$R11,$S11+0&gt;0,$S11,TRUE(),"-")</f>
        <v>#NAME?</v>
      </c>
      <c r="C11" s="155">
        <f t="shared" ref="C11:C23" ca="1" si="6">OFFSET(D11,0,$A$147)</f>
        <v>113</v>
      </c>
      <c r="D11" s="156" t="e">
        <f t="shared" ref="D11:D23" ca="1" si="7">IF(OR(B11=0,B11="-"),"-",((C11-B11)/B11)*100)</f>
        <v>#NAME?</v>
      </c>
      <c r="E11" s="147">
        <f>IF(E$2,IF(BD!B11="-",0,BD!B11+0),0)</f>
        <v>116.8</v>
      </c>
      <c r="F11" s="147">
        <f>IF(F$148,IF(OR(BD!C11=0,BD!C11="-"),E11,BD!C11),"")</f>
        <v>111</v>
      </c>
      <c r="G11" s="147">
        <f>IF(G$148,IF(OR(BD!D11=0,BD!D11="-"),F11,BD!D11),"")</f>
        <v>109</v>
      </c>
      <c r="H11" s="147">
        <f>IF(H$148,IF(OR(BD!E11=0,BD!E11="-"),G11,BD!E11),"")</f>
        <v>110.5</v>
      </c>
      <c r="I11" s="147">
        <f>IF(I$148,IF(OR(BD!F11=0,BD!F11="-"),H11,BD!F11),"")</f>
        <v>112.5</v>
      </c>
      <c r="J11" s="147">
        <f>IF(J$148,IF(OR(BD!G11=0,BD!G11="-"),I11,BD!G11),"")</f>
        <v>112</v>
      </c>
      <c r="K11" s="147">
        <f>IF(K$148,IF(OR(BD!H11=0,BD!H11="-"),J11,BD!H11),"")</f>
        <v>113</v>
      </c>
      <c r="L11" s="147">
        <f>IF(L$148,IF(OR(BD!I11=0,BD!I11="-"),K11,BD!I11),"")</f>
        <v>113</v>
      </c>
      <c r="M11" s="147">
        <f>IF(M$148,IF(OR(BD!J11=0,BD!J11="-"),L11,BD!J11),"")</f>
        <v>113</v>
      </c>
      <c r="N11" s="147">
        <f>IF(N$148,IF(OR(BD!K11=0,BD!K11="-"),M11,BD!K11),"")</f>
        <v>113</v>
      </c>
      <c r="O11" s="147">
        <f>IF(O$148,IF(OR(BD!L11=0,BD!L11="-"),N11,BD!L11),"")</f>
        <v>113</v>
      </c>
      <c r="P11" s="147">
        <f>IF(P$148,IF(OR(BD!M11=0,BD!M11="-"),O11,BD!M11),"")</f>
        <v>113</v>
      </c>
      <c r="Q11" s="12">
        <f>IF(Q$148,IF(OR(BD!N11=0,BD!N11="-"),P11,BD!N11),"")</f>
        <v>113</v>
      </c>
      <c r="R11" s="12">
        <f>IF(R$148,IF(OR(BD!O11=0,BD!O11="-"),Q11,BD!O11),"")</f>
        <v>113</v>
      </c>
      <c r="S11" s="12">
        <f>IF(S$148,IF(OR(BD!P11=0,BD!P11="-"),R11,BD!P11),"")</f>
        <v>113</v>
      </c>
    </row>
    <row r="12" spans="1:19">
      <c r="A12" s="34" t="str">
        <f>BD!A12</f>
        <v>Torácica Inspirada</v>
      </c>
      <c r="B12" s="155" t="e">
        <f t="shared" ca="1" si="5"/>
        <v>#NAME?</v>
      </c>
      <c r="C12" s="155">
        <f t="shared" ca="1" si="6"/>
        <v>95.5</v>
      </c>
      <c r="D12" s="156" t="e">
        <f t="shared" ca="1" si="7"/>
        <v>#NAME?</v>
      </c>
      <c r="E12" s="147">
        <f>IF(E$2,IF(BD!B12="-",0,BD!B12+0),0)</f>
        <v>99</v>
      </c>
      <c r="F12" s="147">
        <f>IF(F$148,IF(OR(BD!C12=0,BD!C12="-"),E12,BD!C12),"")</f>
        <v>96</v>
      </c>
      <c r="G12" s="147">
        <f>IF(G$148,IF(OR(BD!D12=0,BD!D12="-"),F12,BD!D12),"")</f>
        <v>94</v>
      </c>
      <c r="H12" s="147">
        <f>IF(H$148,IF(OR(BD!E12=0,BD!E12="-"),G12,BD!E12),"")</f>
        <v>95</v>
      </c>
      <c r="I12" s="147">
        <f>IF(I$148,IF(OR(BD!F12=0,BD!F12="-"),H12,BD!F12),"")</f>
        <v>96.5</v>
      </c>
      <c r="J12" s="147">
        <f>IF(J$148,IF(OR(BD!G12=0,BD!G12="-"),I12,BD!G12),"")</f>
        <v>97</v>
      </c>
      <c r="K12" s="147">
        <f>IF(K$148,IF(OR(BD!H12=0,BD!H12="-"),J12,BD!H12),"")</f>
        <v>97</v>
      </c>
      <c r="L12" s="147">
        <f>IF(L$148,IF(OR(BD!I12=0,BD!I12="-"),K12,BD!I12),"")</f>
        <v>96</v>
      </c>
      <c r="M12" s="147">
        <f>IF(M$148,IF(OR(BD!J12=0,BD!J12="-"),L12,BD!J12),"")</f>
        <v>97</v>
      </c>
      <c r="N12" s="147">
        <f>IF(N$148,IF(OR(BD!K12=0,BD!K12="-"),M12,BD!K12),"")</f>
        <v>95.5</v>
      </c>
      <c r="O12" s="147">
        <f>IF(O$148,IF(OR(BD!L12=0,BD!L12="-"),N12,BD!L12),"")</f>
        <v>95.5</v>
      </c>
      <c r="P12" s="147">
        <f>IF(P$148,IF(OR(BD!M12=0,BD!M12="-"),O12,BD!M12),"")</f>
        <v>95.5</v>
      </c>
      <c r="Q12" s="12">
        <f>IF(Q$148,IF(OR(BD!N12=0,BD!N12="-"),P12,BD!N12),"")</f>
        <v>95.5</v>
      </c>
      <c r="R12" s="12">
        <f>IF(R$148,IF(OR(BD!O12=0,BD!O12="-"),Q12,BD!O12),"")</f>
        <v>95.5</v>
      </c>
      <c r="S12" s="12">
        <f>IF(S$148,IF(OR(BD!P12=0,BD!P12="-"),R12,BD!P12),"")</f>
        <v>95.5</v>
      </c>
    </row>
    <row r="13" spans="1:19">
      <c r="A13" s="34" t="str">
        <f>BD!A13</f>
        <v>Torácica Expirada</v>
      </c>
      <c r="B13" s="155" t="e">
        <f t="shared" ca="1" si="5"/>
        <v>#NAME?</v>
      </c>
      <c r="C13" s="155">
        <f t="shared" ca="1" si="6"/>
        <v>92.5</v>
      </c>
      <c r="D13" s="156" t="e">
        <f t="shared" ca="1" si="7"/>
        <v>#NAME?</v>
      </c>
      <c r="E13" s="147">
        <f>IF(E$2,IF(BD!B13="-",0,BD!B13+0),0)</f>
        <v>97</v>
      </c>
      <c r="F13" s="147">
        <f>IF(F$148,IF(OR(BD!C13=0,BD!C13="-"),E13,BD!C13),"")</f>
        <v>91</v>
      </c>
      <c r="G13" s="147">
        <f>IF(G$148,IF(OR(BD!D13=0,BD!D13="-"),F13,BD!D13),"")</f>
        <v>88</v>
      </c>
      <c r="H13" s="147">
        <f>IF(H$148,IF(OR(BD!E13=0,BD!E13="-"),G13,BD!E13),"")</f>
        <v>90</v>
      </c>
      <c r="I13" s="147">
        <f>IF(I$148,IF(OR(BD!F13=0,BD!F13="-"),H13,BD!F13),"")</f>
        <v>92</v>
      </c>
      <c r="J13" s="147">
        <f>IF(J$148,IF(OR(BD!G13=0,BD!G13="-"),I13,BD!G13),"")</f>
        <v>92.5</v>
      </c>
      <c r="K13" s="147">
        <f>IF(K$148,IF(OR(BD!H13=0,BD!H13="-"),J13,BD!H13),"")</f>
        <v>92.5</v>
      </c>
      <c r="L13" s="147">
        <f>IF(L$148,IF(OR(BD!I13=0,BD!I13="-"),K13,BD!I13),"")</f>
        <v>92</v>
      </c>
      <c r="M13" s="147">
        <f>IF(M$148,IF(OR(BD!J13=0,BD!J13="-"),L13,BD!J13),"")</f>
        <v>91.5</v>
      </c>
      <c r="N13" s="147">
        <f>IF(N$148,IF(OR(BD!K13=0,BD!K13="-"),M13,BD!K13),"")</f>
        <v>92.5</v>
      </c>
      <c r="O13" s="147">
        <f>IF(O$148,IF(OR(BD!L13=0,BD!L13="-"),N13,BD!L13),"")</f>
        <v>92.5</v>
      </c>
      <c r="P13" s="147">
        <f>IF(P$148,IF(OR(BD!M13=0,BD!M13="-"),O13,BD!M13),"")</f>
        <v>92.5</v>
      </c>
      <c r="Q13" s="12">
        <f>IF(Q$148,IF(OR(BD!N13=0,BD!N13="-"),P13,BD!N13),"")</f>
        <v>92.5</v>
      </c>
      <c r="R13" s="12">
        <f>IF(R$148,IF(OR(BD!O13=0,BD!O13="-"),Q13,BD!O13),"")</f>
        <v>92.5</v>
      </c>
      <c r="S13" s="12">
        <f>IF(S$148,IF(OR(BD!P13=0,BD!P13="-"),R13,BD!P13),"")</f>
        <v>92.5</v>
      </c>
    </row>
    <row r="14" spans="1:19">
      <c r="A14" s="34" t="str">
        <f>BD!A14</f>
        <v>Abdominal</v>
      </c>
      <c r="B14" s="155" t="e">
        <f t="shared" ca="1" si="5"/>
        <v>#NAME?</v>
      </c>
      <c r="C14" s="155">
        <f t="shared" ca="1" si="6"/>
        <v>78</v>
      </c>
      <c r="D14" s="156" t="e">
        <f t="shared" ca="1" si="7"/>
        <v>#NAME?</v>
      </c>
      <c r="E14" s="147">
        <f>IF(E$2,IF(BD!B14="-",0,BD!B14+0),0)</f>
        <v>88.5</v>
      </c>
      <c r="F14" s="147">
        <f>IF(F$148,IF(OR(BD!C14=0,BD!C14="-"),E14,BD!C14),"")</f>
        <v>71.5</v>
      </c>
      <c r="G14" s="147">
        <f>IF(G$148,IF(OR(BD!D14=0,BD!D14="-"),F14,BD!D14),"")</f>
        <v>73.5</v>
      </c>
      <c r="H14" s="147">
        <f>IF(H$148,IF(OR(BD!E14=0,BD!E14="-"),G14,BD!E14),"")</f>
        <v>74.5</v>
      </c>
      <c r="I14" s="147">
        <f>IF(I$148,IF(OR(BD!F14=0,BD!F14="-"),H14,BD!F14),"")</f>
        <v>77.5</v>
      </c>
      <c r="J14" s="147">
        <f>IF(J$148,IF(OR(BD!G14=0,BD!G14="-"),I14,BD!G14),"")</f>
        <v>76</v>
      </c>
      <c r="K14" s="147">
        <f>IF(K$148,IF(OR(BD!H14=0,BD!H14="-"),J14,BD!H14),"")</f>
        <v>77</v>
      </c>
      <c r="L14" s="147">
        <f>IF(L$148,IF(OR(BD!I14=0,BD!I14="-"),K14,BD!I14),"")</f>
        <v>79</v>
      </c>
      <c r="M14" s="147">
        <f>IF(M$148,IF(OR(BD!J14=0,BD!J14="-"),L14,BD!J14),"")</f>
        <v>77.5</v>
      </c>
      <c r="N14" s="147">
        <f>IF(N$148,IF(OR(BD!K14=0,BD!K14="-"),M14,BD!K14),"")</f>
        <v>78</v>
      </c>
      <c r="O14" s="147">
        <f>IF(O$148,IF(OR(BD!L14=0,BD!L14="-"),N14,BD!L14),"")</f>
        <v>76</v>
      </c>
      <c r="P14" s="147">
        <f>IF(P$148,IF(OR(BD!M14=0,BD!M14="-"),O14,BD!M14),"")</f>
        <v>78</v>
      </c>
      <c r="Q14" s="12">
        <f>IF(Q$148,IF(OR(BD!N14=0,BD!N14="-"),P14,BD!N14),"")</f>
        <v>78</v>
      </c>
      <c r="R14" s="12">
        <f>IF(R$148,IF(OR(BD!O14=0,BD!O14="-"),Q14,BD!O14),"")</f>
        <v>78</v>
      </c>
      <c r="S14" s="12">
        <f>IF(S$148,IF(OR(BD!P14=0,BD!P14="-"),R14,BD!P14),"")</f>
        <v>78</v>
      </c>
    </row>
    <row r="15" spans="1:19">
      <c r="A15" s="34" t="str">
        <f>BD!A15</f>
        <v>Quadril</v>
      </c>
      <c r="B15" s="155" t="e">
        <f t="shared" ca="1" si="5"/>
        <v>#NAME?</v>
      </c>
      <c r="C15" s="155">
        <f t="shared" ca="1" si="6"/>
        <v>89</v>
      </c>
      <c r="D15" s="156" t="e">
        <f t="shared" ca="1" si="7"/>
        <v>#NAME?</v>
      </c>
      <c r="E15" s="147">
        <f>IF(E$2,IF(BD!B15="-",0,BD!B15+0),0)</f>
        <v>94</v>
      </c>
      <c r="F15" s="147">
        <f>IF(F$148,IF(OR(BD!C15=0,BD!C15="-"),E15,BD!C15),"")</f>
        <v>88</v>
      </c>
      <c r="G15" s="147">
        <f>IF(G$148,IF(OR(BD!D15=0,BD!D15="-"),F15,BD!D15),"")</f>
        <v>85</v>
      </c>
      <c r="H15" s="147">
        <f>IF(H$148,IF(OR(BD!E15=0,BD!E15="-"),G15,BD!E15),"")</f>
        <v>86</v>
      </c>
      <c r="I15" s="147">
        <f>IF(I$148,IF(OR(BD!F15=0,BD!F15="-"),H15,BD!F15),"")</f>
        <v>88.5</v>
      </c>
      <c r="J15" s="147">
        <f>IF(J$148,IF(OR(BD!G15=0,BD!G15="-"),I15,BD!G15),"")</f>
        <v>88</v>
      </c>
      <c r="K15" s="147">
        <f>IF(K$148,IF(OR(BD!H15=0,BD!H15="-"),J15,BD!H15),"")</f>
        <v>89</v>
      </c>
      <c r="L15" s="147">
        <f>IF(L$148,IF(OR(BD!I15=0,BD!I15="-"),K15,BD!I15),"")</f>
        <v>90</v>
      </c>
      <c r="M15" s="147">
        <f>IF(M$148,IF(OR(BD!J15=0,BD!J15="-"),L15,BD!J15),"")</f>
        <v>89</v>
      </c>
      <c r="N15" s="147">
        <f>IF(N$148,IF(OR(BD!K15=0,BD!K15="-"),M15,BD!K15),"")</f>
        <v>88.5</v>
      </c>
      <c r="O15" s="147">
        <f>IF(O$148,IF(OR(BD!L15=0,BD!L15="-"),N15,BD!L15),"")</f>
        <v>89</v>
      </c>
      <c r="P15" s="147">
        <f>IF(P$148,IF(OR(BD!M15=0,BD!M15="-"),O15,BD!M15),"")</f>
        <v>89</v>
      </c>
      <c r="Q15" s="12">
        <f>IF(Q$148,IF(OR(BD!N15=0,BD!N15="-"),P15,BD!N15),"")</f>
        <v>89</v>
      </c>
      <c r="R15" s="12">
        <f>IF(R$148,IF(OR(BD!O15=0,BD!O15="-"),Q15,BD!O15),"")</f>
        <v>89</v>
      </c>
      <c r="S15" s="12">
        <f>IF(S$148,IF(OR(BD!P15=0,BD!P15="-"),R15,BD!P15),"")</f>
        <v>89</v>
      </c>
    </row>
    <row r="16" spans="1:19">
      <c r="A16" s="34" t="str">
        <f>BD!A16</f>
        <v>Br. Dir. Rel.</v>
      </c>
      <c r="B16" s="155" t="e">
        <f t="shared" ca="1" si="5"/>
        <v>#NAME?</v>
      </c>
      <c r="C16" s="155">
        <f t="shared" ca="1" si="6"/>
        <v>27.2</v>
      </c>
      <c r="D16" s="156" t="e">
        <f t="shared" ca="1" si="7"/>
        <v>#NAME?</v>
      </c>
      <c r="E16" s="147">
        <f>IF(E$2,IF(BD!B16="-",0,BD!B16+0),0)</f>
        <v>26.5</v>
      </c>
      <c r="F16" s="147">
        <f>IF(F$148,IF(OR(BD!C16=0,BD!C16="-"),E16,BD!C16),"")</f>
        <v>27</v>
      </c>
      <c r="G16" s="147">
        <f>IF(G$148,IF(OR(BD!D16=0,BD!D16="-"),F16,BD!D16),"")</f>
        <v>26</v>
      </c>
      <c r="H16" s="147">
        <f>IF(H$148,IF(OR(BD!E16=0,BD!E16="-"),G16,BD!E16),"")</f>
        <v>26</v>
      </c>
      <c r="I16" s="147">
        <f>IF(I$148,IF(OR(BD!F16=0,BD!F16="-"),H16,BD!F16),"")</f>
        <v>27.6</v>
      </c>
      <c r="J16" s="147">
        <f>IF(J$148,IF(OR(BD!G16=0,BD!G16="-"),I16,BD!G16),"")</f>
        <v>27</v>
      </c>
      <c r="K16" s="147">
        <f>IF(K$148,IF(OR(BD!H16=0,BD!H16="-"),J16,BD!H16),"")</f>
        <v>26.6</v>
      </c>
      <c r="L16" s="147">
        <f>IF(L$148,IF(OR(BD!I16=0,BD!I16="-"),K16,BD!I16),"")</f>
        <v>28.5</v>
      </c>
      <c r="M16" s="147">
        <f>IF(M$148,IF(OR(BD!J16=0,BD!J16="-"),L16,BD!J16),"")</f>
        <v>27</v>
      </c>
      <c r="N16" s="147">
        <f>IF(N$148,IF(OR(BD!K16=0,BD!K16="-"),M16,BD!K16),"")</f>
        <v>27.2</v>
      </c>
      <c r="O16" s="147">
        <f>IF(O$148,IF(OR(BD!L16=0,BD!L16="-"),N16,BD!L16),"")</f>
        <v>27.2</v>
      </c>
      <c r="P16" s="147">
        <f>IF(P$148,IF(OR(BD!M16=0,BD!M16="-"),O16,BD!M16),"")</f>
        <v>27.2</v>
      </c>
      <c r="Q16" s="12">
        <f>IF(Q$148,IF(OR(BD!N16=0,BD!N16="-"),P16,BD!N16),"")</f>
        <v>27.2</v>
      </c>
      <c r="R16" s="12">
        <f>IF(R$148,IF(OR(BD!O16=0,BD!O16="-"),Q16,BD!O16),"")</f>
        <v>27.2</v>
      </c>
      <c r="S16" s="12">
        <f>IF(S$148,IF(OR(BD!P16=0,BD!P16="-"),R16,BD!P16),"")</f>
        <v>27.2</v>
      </c>
    </row>
    <row r="17" spans="1:19">
      <c r="A17" s="34" t="str">
        <f>BD!A17</f>
        <v>Br. Dir. Con.</v>
      </c>
      <c r="B17" s="155" t="e">
        <f t="shared" ca="1" si="5"/>
        <v>#NAME?</v>
      </c>
      <c r="C17" s="155">
        <f t="shared" ca="1" si="6"/>
        <v>32</v>
      </c>
      <c r="D17" s="156" t="e">
        <f t="shared" ca="1" si="7"/>
        <v>#NAME?</v>
      </c>
      <c r="E17" s="147">
        <f>IF(E$2,IF(BD!B17="-",0,BD!B17+0),0)</f>
        <v>30</v>
      </c>
      <c r="F17" s="147">
        <f>IF(F$148,IF(OR(BD!C17=0,BD!C17="-"),E17,BD!C17),"")</f>
        <v>32</v>
      </c>
      <c r="G17" s="147">
        <f>IF(G$148,IF(OR(BD!D17=0,BD!D17="-"),F17,BD!D17),"")</f>
        <v>30</v>
      </c>
      <c r="H17" s="147">
        <f>IF(H$148,IF(OR(BD!E17=0,BD!E17="-"),G17,BD!E17),"")</f>
        <v>31</v>
      </c>
      <c r="I17" s="147">
        <f>IF(I$148,IF(OR(BD!F17=0,BD!F17="-"),H17,BD!F17),"")</f>
        <v>32</v>
      </c>
      <c r="J17" s="147">
        <f>IF(J$148,IF(OR(BD!G17=0,BD!G17="-"),I17,BD!G17),"")</f>
        <v>31</v>
      </c>
      <c r="K17" s="147">
        <f>IF(K$148,IF(OR(BD!H17=0,BD!H17="-"),J17,BD!H17),"")</f>
        <v>32</v>
      </c>
      <c r="L17" s="147">
        <f>IF(L$148,IF(OR(BD!I17=0,BD!I17="-"),K17,BD!I17),"")</f>
        <v>32.799999999999997</v>
      </c>
      <c r="M17" s="147">
        <f>IF(M$148,IF(OR(BD!J17=0,BD!J17="-"),L17,BD!J17),"")</f>
        <v>32</v>
      </c>
      <c r="N17" s="147">
        <f>IF(N$148,IF(OR(BD!K17=0,BD!K17="-"),M17,BD!K17),"")</f>
        <v>32</v>
      </c>
      <c r="O17" s="147">
        <f>IF(O$148,IF(OR(BD!L17=0,BD!L17="-"),N17,BD!L17),"")</f>
        <v>32</v>
      </c>
      <c r="P17" s="147">
        <f>IF(P$148,IF(OR(BD!M17=0,BD!M17="-"),O17,BD!M17),"")</f>
        <v>32</v>
      </c>
      <c r="Q17" s="12">
        <f>IF(Q$148,IF(OR(BD!N17=0,BD!N17="-"),P17,BD!N17),"")</f>
        <v>32</v>
      </c>
      <c r="R17" s="12">
        <f>IF(R$148,IF(OR(BD!O17=0,BD!O17="-"),Q17,BD!O17),"")</f>
        <v>32</v>
      </c>
      <c r="S17" s="12">
        <f>IF(S$148,IF(OR(BD!P17=0,BD!P17="-"),R17,BD!P17),"")</f>
        <v>32</v>
      </c>
    </row>
    <row r="18" spans="1:19">
      <c r="A18" s="34" t="str">
        <f>BD!A18</f>
        <v>Coxa Dir.</v>
      </c>
      <c r="B18" s="155" t="e">
        <f t="shared" ca="1" si="5"/>
        <v>#NAME?</v>
      </c>
      <c r="C18" s="155">
        <f t="shared" ca="1" si="6"/>
        <v>53</v>
      </c>
      <c r="D18" s="156" t="e">
        <f t="shared" ca="1" si="7"/>
        <v>#NAME?</v>
      </c>
      <c r="E18" s="147">
        <f>IF(E$2,IF(BD!B18="-",0,BD!B18+0),0)</f>
        <v>53</v>
      </c>
      <c r="F18" s="147">
        <f>IF(F$148,IF(OR(BD!C18=0,BD!C18="-"),E18,BD!C18),"")</f>
        <v>51</v>
      </c>
      <c r="G18" s="147">
        <f>IF(G$148,IF(OR(BD!D18=0,BD!D18="-"),F18,BD!D18),"")</f>
        <v>50</v>
      </c>
      <c r="H18" s="147">
        <f>IF(H$148,IF(OR(BD!E18=0,BD!E18="-"),G18,BD!E18),"")</f>
        <v>51.5</v>
      </c>
      <c r="I18" s="147">
        <f>IF(I$148,IF(OR(BD!F18=0,BD!F18="-"),H18,BD!F18),"")</f>
        <v>52</v>
      </c>
      <c r="J18" s="147">
        <f>IF(J$148,IF(OR(BD!G18=0,BD!G18="-"),I18,BD!G18),"")</f>
        <v>52</v>
      </c>
      <c r="K18" s="147">
        <f>IF(K$148,IF(OR(BD!H18=0,BD!H18="-"),J18,BD!H18),"")</f>
        <v>51</v>
      </c>
      <c r="L18" s="147">
        <f>IF(L$148,IF(OR(BD!I18=0,BD!I18="-"),K18,BD!I18),"")</f>
        <v>53</v>
      </c>
      <c r="M18" s="147">
        <f>IF(M$148,IF(OR(BD!J18=0,BD!J18="-"),L18,BD!J18),"")</f>
        <v>52.5</v>
      </c>
      <c r="N18" s="147">
        <f>IF(N$148,IF(OR(BD!K18=0,BD!K18="-"),M18,BD!K18),"")</f>
        <v>53</v>
      </c>
      <c r="O18" s="147">
        <f>IF(O$148,IF(OR(BD!L18=0,BD!L18="-"),N18,BD!L18),"")</f>
        <v>53</v>
      </c>
      <c r="P18" s="147">
        <f>IF(P$148,IF(OR(BD!M18=0,BD!M18="-"),O18,BD!M18),"")</f>
        <v>53</v>
      </c>
      <c r="Q18" s="12">
        <f>IF(Q$148,IF(OR(BD!N18=0,BD!N18="-"),P18,BD!N18),"")</f>
        <v>53</v>
      </c>
      <c r="R18" s="12">
        <f>IF(R$148,IF(OR(BD!O18=0,BD!O18="-"),Q18,BD!O18),"")</f>
        <v>53</v>
      </c>
      <c r="S18" s="12">
        <f>IF(S$148,IF(OR(BD!P18=0,BD!P18="-"),R18,BD!P18),"")</f>
        <v>53</v>
      </c>
    </row>
    <row r="19" spans="1:19">
      <c r="A19" s="34" t="str">
        <f>BD!A19</f>
        <v>Perna Dir.</v>
      </c>
      <c r="B19" s="155" t="e">
        <f t="shared" ca="1" si="5"/>
        <v>#NAME?</v>
      </c>
      <c r="C19" s="155">
        <f t="shared" ca="1" si="6"/>
        <v>38</v>
      </c>
      <c r="D19" s="156" t="e">
        <f t="shared" ca="1" si="7"/>
        <v>#NAME?</v>
      </c>
      <c r="E19" s="147">
        <f>IF(E$2,IF(BD!B19="-",0,BD!B19+0),0)</f>
        <v>39.299999999999997</v>
      </c>
      <c r="F19" s="147">
        <f>IF(F$148,IF(OR(BD!C19=0,BD!C19="-"),E19,BD!C19),"")</f>
        <v>38</v>
      </c>
      <c r="G19" s="147">
        <f>IF(G$148,IF(OR(BD!D19=0,BD!D19="-"),F19,BD!D19),"")</f>
        <v>37.5</v>
      </c>
      <c r="H19" s="147">
        <f>IF(H$148,IF(OR(BD!E19=0,BD!E19="-"),G19,BD!E19),"")</f>
        <v>37</v>
      </c>
      <c r="I19" s="147">
        <f>IF(I$148,IF(OR(BD!F19=0,BD!F19="-"),H19,BD!F19),"")</f>
        <v>38</v>
      </c>
      <c r="J19" s="147">
        <f>IF(J$148,IF(OR(BD!G19=0,BD!G19="-"),I19,BD!G19),"")</f>
        <v>39</v>
      </c>
      <c r="K19" s="147">
        <f>IF(K$148,IF(OR(BD!H19=0,BD!H19="-"),J19,BD!H19),"")</f>
        <v>37</v>
      </c>
      <c r="L19" s="147">
        <f>IF(L$148,IF(OR(BD!I19=0,BD!I19="-"),K19,BD!I19),"")</f>
        <v>38.6</v>
      </c>
      <c r="M19" s="147">
        <f>IF(M$148,IF(OR(BD!J19=0,BD!J19="-"),L19,BD!J19),"")</f>
        <v>38</v>
      </c>
      <c r="N19" s="147">
        <f>IF(N$148,IF(OR(BD!K19=0,BD!K19="-"),M19,BD!K19),"")</f>
        <v>38</v>
      </c>
      <c r="O19" s="147">
        <f>IF(O$148,IF(OR(BD!L19=0,BD!L19="-"),N19,BD!L19),"")</f>
        <v>38</v>
      </c>
      <c r="P19" s="147">
        <f>IF(P$148,IF(OR(BD!M19=0,BD!M19="-"),O19,BD!M19),"")</f>
        <v>38</v>
      </c>
      <c r="Q19" s="12">
        <f>IF(Q$148,IF(OR(BD!N19=0,BD!N19="-"),P19,BD!N19),"")</f>
        <v>38</v>
      </c>
      <c r="R19" s="12">
        <f>IF(R$148,IF(OR(BD!O19=0,BD!O19="-"),Q19,BD!O19),"")</f>
        <v>38</v>
      </c>
      <c r="S19" s="12">
        <f>IF(S$148,IF(OR(BD!P19=0,BD!P19="-"),R19,BD!P19),"")</f>
        <v>38</v>
      </c>
    </row>
    <row r="20" spans="1:19">
      <c r="A20" s="34" t="str">
        <f>BD!A20</f>
        <v>Br. Esq. Rel.</v>
      </c>
      <c r="B20" s="155" t="e">
        <f t="shared" ca="1" si="5"/>
        <v>#NAME?</v>
      </c>
      <c r="C20" s="155">
        <f t="shared" ca="1" si="6"/>
        <v>26.7</v>
      </c>
      <c r="D20" s="156" t="e">
        <f t="shared" ca="1" si="7"/>
        <v>#NAME?</v>
      </c>
      <c r="E20" s="147">
        <f>IF(E$2,IF(BD!B20="-",0,BD!B20+0),0)</f>
        <v>26.5</v>
      </c>
      <c r="F20" s="147">
        <f>IF(F$148,IF(OR(BD!C20=0,BD!C20="-"),E20,BD!C20),"")</f>
        <v>27</v>
      </c>
      <c r="G20" s="147">
        <f>IF(G$148,IF(OR(BD!D20=0,BD!D20="-"),F20,BD!D20),"")</f>
        <v>26</v>
      </c>
      <c r="H20" s="147">
        <f>IF(H$148,IF(OR(BD!E20=0,BD!E20="-"),G20,BD!E20),"")</f>
        <v>26</v>
      </c>
      <c r="I20" s="147">
        <f>IF(I$148,IF(OR(BD!F20=0,BD!F20="-"),H20,BD!F20),"")</f>
        <v>27</v>
      </c>
      <c r="J20" s="147">
        <f>IF(J$148,IF(OR(BD!G20=0,BD!G20="-"),I20,BD!G20),"")</f>
        <v>26.5</v>
      </c>
      <c r="K20" s="147">
        <f>IF(K$148,IF(OR(BD!H20=0,BD!H20="-"),J20,BD!H20),"")</f>
        <v>27</v>
      </c>
      <c r="L20" s="147">
        <f>IF(L$148,IF(OR(BD!I20=0,BD!I20="-"),K20,BD!I20),"")</f>
        <v>28</v>
      </c>
      <c r="M20" s="147">
        <f>IF(M$148,IF(OR(BD!J20=0,BD!J20="-"),L20,BD!J20),"")</f>
        <v>26.5</v>
      </c>
      <c r="N20" s="147">
        <f>IF(N$148,IF(OR(BD!K20=0,BD!K20="-"),M20,BD!K20),"")</f>
        <v>26.7</v>
      </c>
      <c r="O20" s="147">
        <f>IF(O$148,IF(OR(BD!L20=0,BD!L20="-"),N20,BD!L20),"")</f>
        <v>26.7</v>
      </c>
      <c r="P20" s="147">
        <f>IF(P$148,IF(OR(BD!M20=0,BD!M20="-"),O20,BD!M20),"")</f>
        <v>26.7</v>
      </c>
      <c r="Q20" s="12">
        <f>IF(Q$148,IF(OR(BD!N20=0,BD!N20="-"),P20,BD!N20),"")</f>
        <v>26.7</v>
      </c>
      <c r="R20" s="12">
        <f>IF(R$148,IF(OR(BD!O20=0,BD!O20="-"),Q20,BD!O20),"")</f>
        <v>26.7</v>
      </c>
      <c r="S20" s="12">
        <f>IF(S$148,IF(OR(BD!P20=0,BD!P20="-"),R20,BD!P20),"")</f>
        <v>26.7</v>
      </c>
    </row>
    <row r="21" spans="1:19">
      <c r="A21" s="34" t="str">
        <f>BD!A21</f>
        <v>Br. Esq. Con.</v>
      </c>
      <c r="B21" s="155" t="e">
        <f t="shared" ca="1" si="5"/>
        <v>#NAME?</v>
      </c>
      <c r="C21" s="155">
        <f t="shared" ca="1" si="6"/>
        <v>31</v>
      </c>
      <c r="D21" s="156" t="e">
        <f t="shared" ca="1" si="7"/>
        <v>#NAME?</v>
      </c>
      <c r="E21" s="147">
        <f>IF(E$2,IF(BD!B21="-",0,BD!B21+0),0)</f>
        <v>30</v>
      </c>
      <c r="F21" s="147">
        <f>IF(F$148,IF(OR(BD!C21=0,BD!C21="-"),E21,BD!C21),"")</f>
        <v>31</v>
      </c>
      <c r="G21" s="147">
        <f>IF(G$148,IF(OR(BD!D21=0,BD!D21="-"),F21,BD!D21),"")</f>
        <v>30</v>
      </c>
      <c r="H21" s="147">
        <f>IF(H$148,IF(OR(BD!E21=0,BD!E21="-"),G21,BD!E21),"")</f>
        <v>29.5</v>
      </c>
      <c r="I21" s="147">
        <f>IF(I$148,IF(OR(BD!F21=0,BD!F21="-"),H21,BD!F21),"")</f>
        <v>31</v>
      </c>
      <c r="J21" s="147">
        <f>IF(J$148,IF(OR(BD!G21=0,BD!G21="-"),I21,BD!G21),"")</f>
        <v>30</v>
      </c>
      <c r="K21" s="147">
        <f>IF(K$148,IF(OR(BD!H21=0,BD!H21="-"),J21,BD!H21),"")</f>
        <v>31.5</v>
      </c>
      <c r="L21" s="147">
        <f>IF(L$148,IF(OR(BD!I21=0,BD!I21="-"),K21,BD!I21),"")</f>
        <v>32</v>
      </c>
      <c r="M21" s="147">
        <f>IF(M$148,IF(OR(BD!J21=0,BD!J21="-"),L21,BD!J21),"")</f>
        <v>31.5</v>
      </c>
      <c r="N21" s="147">
        <f>IF(N$148,IF(OR(BD!K21=0,BD!K21="-"),M21,BD!K21),"")</f>
        <v>31</v>
      </c>
      <c r="O21" s="147">
        <f>IF(O$148,IF(OR(BD!L21=0,BD!L21="-"),N21,BD!L21),"")</f>
        <v>31</v>
      </c>
      <c r="P21" s="147">
        <f>IF(P$148,IF(OR(BD!M21=0,BD!M21="-"),O21,BD!M21),"")</f>
        <v>31</v>
      </c>
      <c r="Q21" s="12">
        <f>IF(Q$148,IF(OR(BD!N21=0,BD!N21="-"),P21,BD!N21),"")</f>
        <v>31</v>
      </c>
      <c r="R21" s="12">
        <f>IF(R$148,IF(OR(BD!O21=0,BD!O21="-"),Q21,BD!O21),"")</f>
        <v>31</v>
      </c>
      <c r="S21" s="12">
        <f>IF(S$148,IF(OR(BD!P21=0,BD!P21="-"),R21,BD!P21),"")</f>
        <v>31</v>
      </c>
    </row>
    <row r="22" spans="1:19">
      <c r="A22" s="34" t="str">
        <f>BD!A22</f>
        <v>Coxa Esq.</v>
      </c>
      <c r="B22" s="155" t="e">
        <f t="shared" ca="1" si="5"/>
        <v>#NAME?</v>
      </c>
      <c r="C22" s="155">
        <f t="shared" ca="1" si="6"/>
        <v>53.5</v>
      </c>
      <c r="D22" s="156" t="e">
        <f t="shared" ca="1" si="7"/>
        <v>#NAME?</v>
      </c>
      <c r="E22" s="147">
        <f>IF(E$2,IF(BD!B22="-",0,BD!B22+0),0)</f>
        <v>53.3</v>
      </c>
      <c r="F22" s="147">
        <f>IF(F$148,IF(OR(BD!C22=0,BD!C22="-"),E22,BD!C22),"")</f>
        <v>51.5</v>
      </c>
      <c r="G22" s="147">
        <f>IF(G$148,IF(OR(BD!D22=0,BD!D22="-"),F22,BD!D22),"")</f>
        <v>50</v>
      </c>
      <c r="H22" s="147">
        <f>IF(H$148,IF(OR(BD!E22=0,BD!E22="-"),G22,BD!E22),"")</f>
        <v>52</v>
      </c>
      <c r="I22" s="147">
        <f>IF(I$148,IF(OR(BD!F22=0,BD!F22="-"),H22,BD!F22),"")</f>
        <v>53</v>
      </c>
      <c r="J22" s="147">
        <f>IF(J$148,IF(OR(BD!G22=0,BD!G22="-"),I22,BD!G22),"")</f>
        <v>52</v>
      </c>
      <c r="K22" s="147">
        <f>IF(K$148,IF(OR(BD!H22=0,BD!H22="-"),J22,BD!H22),"")</f>
        <v>51</v>
      </c>
      <c r="L22" s="147">
        <f>IF(L$148,IF(OR(BD!I22=0,BD!I22="-"),K22,BD!I22),"")</f>
        <v>53</v>
      </c>
      <c r="M22" s="147">
        <f>IF(M$148,IF(OR(BD!J22=0,BD!J22="-"),L22,BD!J22),"")</f>
        <v>53</v>
      </c>
      <c r="N22" s="147">
        <f>IF(N$148,IF(OR(BD!K22=0,BD!K22="-"),M22,BD!K22),"")</f>
        <v>53.5</v>
      </c>
      <c r="O22" s="147">
        <f>IF(O$148,IF(OR(BD!L22=0,BD!L22="-"),N22,BD!L22),"")</f>
        <v>53.5</v>
      </c>
      <c r="P22" s="147">
        <f>IF(P$148,IF(OR(BD!M22=0,BD!M22="-"),O22,BD!M22),"")</f>
        <v>53.5</v>
      </c>
      <c r="Q22" s="12">
        <f>IF(Q$148,IF(OR(BD!N22=0,BD!N22="-"),P22,BD!N22),"")</f>
        <v>53.5</v>
      </c>
      <c r="R22" s="12">
        <f>IF(R$148,IF(OR(BD!O22=0,BD!O22="-"),Q22,BD!O22),"")</f>
        <v>53.5</v>
      </c>
      <c r="S22" s="12">
        <f>IF(S$148,IF(OR(BD!P22=0,BD!P22="-"),R22,BD!P22),"")</f>
        <v>53.5</v>
      </c>
    </row>
    <row r="23" spans="1:19">
      <c r="A23" s="34" t="str">
        <f>BD!A23</f>
        <v>Perna Esq.</v>
      </c>
      <c r="B23" s="155" t="e">
        <f t="shared" ca="1" si="5"/>
        <v>#NAME?</v>
      </c>
      <c r="C23" s="155">
        <f t="shared" ca="1" si="6"/>
        <v>37.5</v>
      </c>
      <c r="D23" s="156" t="e">
        <f t="shared" ca="1" si="7"/>
        <v>#NAME?</v>
      </c>
      <c r="E23" s="147">
        <f>IF(E$2,IF(BD!B23="-",0,BD!B23+0),0)</f>
        <v>39</v>
      </c>
      <c r="F23" s="147">
        <f>IF(F$148,IF(OR(BD!C23=0,BD!C23="-"),E23,BD!C23),"")</f>
        <v>37.5</v>
      </c>
      <c r="G23" s="147">
        <f>IF(G$148,IF(OR(BD!D23=0,BD!D23="-"),F23,BD!D23),"")</f>
        <v>37</v>
      </c>
      <c r="H23" s="147">
        <f>IF(H$148,IF(OR(BD!E23=0,BD!E23="-"),G23,BD!E23),"")</f>
        <v>37.200000000000003</v>
      </c>
      <c r="I23" s="147">
        <f>IF(I$148,IF(OR(BD!F23=0,BD!F23="-"),H23,BD!F23),"")</f>
        <v>38</v>
      </c>
      <c r="J23" s="147">
        <f>IF(J$148,IF(OR(BD!G23=0,BD!G23="-"),I23,BD!G23),"")</f>
        <v>39</v>
      </c>
      <c r="K23" s="147">
        <f>IF(K$148,IF(OR(BD!H23=0,BD!H23="-"),J23,BD!H23),"")</f>
        <v>37</v>
      </c>
      <c r="L23" s="147">
        <f>IF(L$148,IF(OR(BD!I23=0,BD!I23="-"),K23,BD!I23),"")</f>
        <v>39</v>
      </c>
      <c r="M23" s="147">
        <f>IF(M$148,IF(OR(BD!J23=0,BD!J23="-"),L23,BD!J23),"")</f>
        <v>38.200000000000003</v>
      </c>
      <c r="N23" s="147">
        <f>IF(N$148,IF(OR(BD!K23=0,BD!K23="-"),M23,BD!K23),"")</f>
        <v>37.5</v>
      </c>
      <c r="O23" s="147">
        <f>IF(O$148,IF(OR(BD!L23=0,BD!L23="-"),N23,BD!L23),"")</f>
        <v>37.5</v>
      </c>
      <c r="P23" s="147">
        <f>IF(P$148,IF(OR(BD!M23=0,BD!M23="-"),O23,BD!M23),"")</f>
        <v>37.5</v>
      </c>
      <c r="Q23" s="12">
        <f>IF(Q$148,IF(OR(BD!N23=0,BD!N23="-"),P23,BD!N23),"")</f>
        <v>37.5</v>
      </c>
      <c r="R23" s="12">
        <f>IF(R$148,IF(OR(BD!O23=0,BD!O23="-"),Q23,BD!O23),"")</f>
        <v>37.5</v>
      </c>
      <c r="S23" s="12">
        <f>IF(S$148,IF(OR(BD!P23=0,BD!P23="-"),R23,BD!P23),"")</f>
        <v>37.5</v>
      </c>
    </row>
    <row r="24" spans="1:19">
      <c r="B24" s="157"/>
      <c r="C24" s="150"/>
      <c r="D24" s="156"/>
      <c r="E24" s="12"/>
      <c r="F24" s="12"/>
      <c r="G24" s="12"/>
      <c r="H24" s="12"/>
      <c r="I24" s="12"/>
      <c r="J24" s="12"/>
      <c r="K24" s="12"/>
      <c r="L24" s="12"/>
      <c r="M24" s="12"/>
      <c r="N24" s="12"/>
      <c r="O24" s="12"/>
      <c r="P24" s="12"/>
      <c r="Q24" s="12"/>
      <c r="R24" s="12"/>
      <c r="S24" s="12"/>
    </row>
    <row r="25" spans="1:19">
      <c r="A25" s="34" t="str">
        <f>BD!A25</f>
        <v>D.C. Tricipital</v>
      </c>
      <c r="B25" s="155" t="e">
        <f t="shared" ref="B25:B40" ca="1" si="8">_xludf.IFS($E25+0&gt;0,$E25,$F25+0&gt;0,$F25,$G25+0&gt;0,$G25,$H25+0&gt;0,$H25,$I25+0&gt;0,$I25,$J25+0&gt;0,$J25,$K25+0&gt;0,$K25,$L25+0&gt;0,$L25,$M25+0&gt;0,$M25,$N25+0&gt;0,$N25,$O25+0&gt;0,$O25,$P25+0&gt;0,$P25,$Q25+0&gt;0,$Q25,$R25+0&gt;0,$R25,$S25+0&gt;0,$S25,TRUE(),"-")</f>
        <v>#NAME?</v>
      </c>
      <c r="C25" s="155">
        <f t="shared" ref="C25:C40" ca="1" si="9">OFFSET(D25,0,$A$147)</f>
        <v>3.4</v>
      </c>
      <c r="D25" s="156" t="e">
        <f t="shared" ref="D25:D40" ca="1" si="10">IF(OR(B25=0,B25="-"),"-",((C25-B25)/B25)*100)</f>
        <v>#NAME?</v>
      </c>
      <c r="E25" s="147">
        <f>IF(E$2,IF(BD!B25="-",0,BD!B25+0),0)</f>
        <v>9.6</v>
      </c>
      <c r="F25" s="147">
        <f>IF(F$148,IF(OR(BD!C25=0,BD!C25="-"),E25,BD!C25),"")</f>
        <v>4.2</v>
      </c>
      <c r="G25" s="147">
        <f>IF(G$148,IF(OR(BD!D25=0,BD!D25="-"),F25,BD!D25),"")</f>
        <v>4</v>
      </c>
      <c r="H25" s="147">
        <f>IF(H$148,IF(OR(BD!E25=0,BD!E25="-"),G25,BD!E25),"")</f>
        <v>3.8</v>
      </c>
      <c r="I25" s="147">
        <f>IF(I$148,IF(OR(BD!F25=0,BD!F25="-"),H25,BD!F25),"")</f>
        <v>4</v>
      </c>
      <c r="J25" s="147">
        <f>IF(J$148,IF(OR(BD!G25=0,BD!G25="-"),I25,BD!G25),"")</f>
        <v>3.2</v>
      </c>
      <c r="K25" s="147">
        <f>IF(K$148,IF(OR(BD!H25=0,BD!H25="-"),J25,BD!H25),"")</f>
        <v>3.2</v>
      </c>
      <c r="L25" s="147">
        <f>IF(L$148,IF(OR(BD!I25=0,BD!I25="-"),K25,BD!I25),"")</f>
        <v>3.4</v>
      </c>
      <c r="M25" s="147">
        <f>IF(M$148,IF(OR(BD!J25=0,BD!J25="-"),L25,BD!J25),"")</f>
        <v>3.4</v>
      </c>
      <c r="N25" s="147">
        <f>IF(N$148,IF(OR(BD!K25=0,BD!K25="-"),M25,BD!K25),"")</f>
        <v>3.4</v>
      </c>
      <c r="O25" s="147">
        <f>IF(O$148,IF(OR(BD!L25=0,BD!L25="-"),N25,BD!L25),"")</f>
        <v>3</v>
      </c>
      <c r="P25" s="147">
        <f>IF(P$148,IF(OR(BD!M25=0,BD!M25="-"),O25,BD!M25),"")</f>
        <v>3.4</v>
      </c>
      <c r="Q25" s="12">
        <f>IF(Q$148,IF(OR(BD!N25=0,BD!N25="-"),P25,BD!N25),"")</f>
        <v>3.4</v>
      </c>
      <c r="R25" s="12">
        <f>IF(R$148,IF(OR(BD!O25=0,BD!O25="-"),Q25,BD!O25),"")</f>
        <v>3.4</v>
      </c>
      <c r="S25" s="12">
        <f>IF(S$148,IF(OR(BD!P25=0,BD!P25="-"),R25,BD!P25),"")</f>
        <v>3.4</v>
      </c>
    </row>
    <row r="26" spans="1:19">
      <c r="A26" s="34" t="str">
        <f>BD!A26</f>
        <v>D.C. Subescapular</v>
      </c>
      <c r="B26" s="155" t="e">
        <f t="shared" ca="1" si="8"/>
        <v>#NAME?</v>
      </c>
      <c r="C26" s="155">
        <f t="shared" ca="1" si="9"/>
        <v>12.4</v>
      </c>
      <c r="D26" s="156" t="e">
        <f t="shared" ca="1" si="10"/>
        <v>#NAME?</v>
      </c>
      <c r="E26" s="147">
        <f>IF(E$2,IF(BD!B26="-",0,BD!B26+0),0)</f>
        <v>29</v>
      </c>
      <c r="F26" s="147">
        <f>IF(F$148,IF(OR(BD!C26=0,BD!C26="-"),E26,BD!C26),"")</f>
        <v>17.2</v>
      </c>
      <c r="G26" s="147">
        <f>IF(G$148,IF(OR(BD!D26=0,BD!D26="-"),F26,BD!D26),"")</f>
        <v>10.3</v>
      </c>
      <c r="H26" s="147">
        <f>IF(H$148,IF(OR(BD!E26=0,BD!E26="-"),G26,BD!E26),"")</f>
        <v>9.1999999999999993</v>
      </c>
      <c r="I26" s="147">
        <f>IF(I$148,IF(OR(BD!F26=0,BD!F26="-"),H26,BD!F26),"")</f>
        <v>13</v>
      </c>
      <c r="J26" s="147">
        <f>IF(J$148,IF(OR(BD!G26=0,BD!G26="-"),I26,BD!G26),"")</f>
        <v>10.4</v>
      </c>
      <c r="K26" s="147">
        <f>IF(K$148,IF(OR(BD!H26=0,BD!H26="-"),J26,BD!H26),"")</f>
        <v>10.4</v>
      </c>
      <c r="L26" s="147">
        <f>IF(L$148,IF(OR(BD!I26=0,BD!I26="-"),K26,BD!I26),"")</f>
        <v>15.1</v>
      </c>
      <c r="M26" s="147">
        <f>IF(M$148,IF(OR(BD!J26=0,BD!J26="-"),L26,BD!J26),"")</f>
        <v>14.1</v>
      </c>
      <c r="N26" s="147">
        <f>IF(N$148,IF(OR(BD!K26=0,BD!K26="-"),M26,BD!K26),"")</f>
        <v>12.4</v>
      </c>
      <c r="O26" s="147">
        <f>IF(O$148,IF(OR(BD!L26=0,BD!L26="-"),N26,BD!L26),"")</f>
        <v>11</v>
      </c>
      <c r="P26" s="147">
        <f>IF(P$148,IF(OR(BD!M26=0,BD!M26="-"),O26,BD!M26),"")</f>
        <v>12.4</v>
      </c>
      <c r="Q26" s="12">
        <f>IF(Q$148,IF(OR(BD!N26=0,BD!N26="-"),P26,BD!N26),"")</f>
        <v>12.4</v>
      </c>
      <c r="R26" s="12">
        <f>IF(R$148,IF(OR(BD!O26=0,BD!O26="-"),Q26,BD!O26),"")</f>
        <v>12.4</v>
      </c>
      <c r="S26" s="12">
        <f>IF(S$148,IF(OR(BD!P26=0,BD!P26="-"),R26,BD!P26),"")</f>
        <v>12.4</v>
      </c>
    </row>
    <row r="27" spans="1:19">
      <c r="A27" s="34" t="str">
        <f>BD!A27</f>
        <v>D.C. Suprailíaca</v>
      </c>
      <c r="B27" s="155" t="e">
        <f t="shared" ca="1" si="8"/>
        <v>#NAME?</v>
      </c>
      <c r="C27" s="155">
        <f t="shared" ca="1" si="9"/>
        <v>4</v>
      </c>
      <c r="D27" s="156" t="e">
        <f t="shared" ca="1" si="10"/>
        <v>#NAME?</v>
      </c>
      <c r="E27" s="147">
        <f>IF(E$2,IF(BD!B27="-",0,BD!B27+0),0)</f>
        <v>11.4</v>
      </c>
      <c r="F27" s="147">
        <f>IF(F$148,IF(OR(BD!C27=0,BD!C27="-"),E27,BD!C27),"")</f>
        <v>4.5</v>
      </c>
      <c r="G27" s="147">
        <f>IF(G$148,IF(OR(BD!D27=0,BD!D27="-"),F27,BD!D27),"")</f>
        <v>4.0999999999999996</v>
      </c>
      <c r="H27" s="147">
        <f>IF(H$148,IF(OR(BD!E27=0,BD!E27="-"),G27,BD!E27),"")</f>
        <v>3.9</v>
      </c>
      <c r="I27" s="147">
        <f>IF(I$148,IF(OR(BD!F27=0,BD!F27="-"),H27,BD!F27),"")</f>
        <v>4.5</v>
      </c>
      <c r="J27" s="147">
        <f>IF(J$148,IF(OR(BD!G27=0,BD!G27="-"),I27,BD!G27),"")</f>
        <v>3.9</v>
      </c>
      <c r="K27" s="147">
        <f>IF(K$148,IF(OR(BD!H27=0,BD!H27="-"),J27,BD!H27),"")</f>
        <v>3.8</v>
      </c>
      <c r="L27" s="147">
        <f>IF(L$148,IF(OR(BD!I27=0,BD!I27="-"),K27,BD!I27),"")</f>
        <v>4.8</v>
      </c>
      <c r="M27" s="147">
        <f>IF(M$148,IF(OR(BD!J27=0,BD!J27="-"),L27,BD!J27),"")</f>
        <v>4.5999999999999996</v>
      </c>
      <c r="N27" s="147">
        <f>IF(N$148,IF(OR(BD!K27=0,BD!K27="-"),M27,BD!K27),"")</f>
        <v>4.3</v>
      </c>
      <c r="O27" s="147">
        <f>IF(O$148,IF(OR(BD!L27=0,BD!L27="-"),N27,BD!L27),"")</f>
        <v>4.2</v>
      </c>
      <c r="P27" s="147">
        <f>IF(P$148,IF(OR(BD!M27=0,BD!M27="-"),O27,BD!M27),"")</f>
        <v>4</v>
      </c>
      <c r="Q27" s="12">
        <f>IF(Q$148,IF(OR(BD!N27=0,BD!N27="-"),P27,BD!N27),"")</f>
        <v>4</v>
      </c>
      <c r="R27" s="12">
        <f>IF(R$148,IF(OR(BD!O27=0,BD!O27="-"),Q27,BD!O27),"")</f>
        <v>4</v>
      </c>
      <c r="S27" s="12">
        <f>IF(S$148,IF(OR(BD!P27=0,BD!P27="-"),R27,BD!P27),"")</f>
        <v>4</v>
      </c>
    </row>
    <row r="28" spans="1:19">
      <c r="A28" s="34" t="str">
        <f>BD!A28</f>
        <v>D.C. Abdominal</v>
      </c>
      <c r="B28" s="155" t="e">
        <f t="shared" ca="1" si="8"/>
        <v>#NAME?</v>
      </c>
      <c r="C28" s="155">
        <f t="shared" ca="1" si="9"/>
        <v>9.4</v>
      </c>
      <c r="D28" s="156" t="e">
        <f t="shared" ca="1" si="10"/>
        <v>#NAME?</v>
      </c>
      <c r="E28" s="147">
        <f>IF(E$2,IF(BD!B28="-",0,BD!B28+0),0)</f>
        <v>32</v>
      </c>
      <c r="F28" s="147">
        <f>IF(F$148,IF(OR(BD!C28=0,BD!C28="-"),E28,BD!C28),"")</f>
        <v>13.6</v>
      </c>
      <c r="G28" s="147">
        <f>IF(G$148,IF(OR(BD!D28=0,BD!D28="-"),F28,BD!D28),"")</f>
        <v>9.6</v>
      </c>
      <c r="H28" s="147">
        <f>IF(H$148,IF(OR(BD!E28=0,BD!E28="-"),G28,BD!E28),"")</f>
        <v>9</v>
      </c>
      <c r="I28" s="147">
        <f>IF(I$148,IF(OR(BD!F28=0,BD!F28="-"),H28,BD!F28),"")</f>
        <v>13.1</v>
      </c>
      <c r="J28" s="147">
        <f>IF(J$148,IF(OR(BD!G28=0,BD!G28="-"),I28,BD!G28),"")</f>
        <v>8</v>
      </c>
      <c r="K28" s="147">
        <f>IF(K$148,IF(OR(BD!H28=0,BD!H28="-"),J28,BD!H28),"")</f>
        <v>8.5</v>
      </c>
      <c r="L28" s="147">
        <f>IF(L$148,IF(OR(BD!I28=0,BD!I28="-"),K28,BD!I28),"")</f>
        <v>13</v>
      </c>
      <c r="M28" s="147">
        <f>IF(M$148,IF(OR(BD!J28=0,BD!J28="-"),L28,BD!J28),"")</f>
        <v>12.7</v>
      </c>
      <c r="N28" s="147">
        <f>IF(N$148,IF(OR(BD!K28=0,BD!K28="-"),M28,BD!K28),"")</f>
        <v>12.8</v>
      </c>
      <c r="O28" s="147">
        <f>IF(O$148,IF(OR(BD!L28=0,BD!L28="-"),N28,BD!L28),"")</f>
        <v>9.9</v>
      </c>
      <c r="P28" s="147">
        <f>IF(P$148,IF(OR(BD!M28=0,BD!M28="-"),O28,BD!M28),"")</f>
        <v>9.4</v>
      </c>
      <c r="Q28" s="12">
        <f>IF(Q$148,IF(OR(BD!N28=0,BD!N28="-"),P28,BD!N28),"")</f>
        <v>9.4</v>
      </c>
      <c r="R28" s="12">
        <f>IF(R$148,IF(OR(BD!O28=0,BD!O28="-"),Q28,BD!O28),"")</f>
        <v>9.4</v>
      </c>
      <c r="S28" s="12">
        <f>IF(S$148,IF(OR(BD!P28=0,BD!P28="-"),R28,BD!P28),"")</f>
        <v>9.4</v>
      </c>
    </row>
    <row r="29" spans="1:19">
      <c r="A29" s="34" t="str">
        <f>BD!A29</f>
        <v>D.C. Coxa</v>
      </c>
      <c r="B29" s="155" t="e">
        <f t="shared" ca="1" si="8"/>
        <v>#NAME?</v>
      </c>
      <c r="C29" s="155">
        <f t="shared" ca="1" si="9"/>
        <v>4.2</v>
      </c>
      <c r="D29" s="156" t="e">
        <f t="shared" ca="1" si="10"/>
        <v>#NAME?</v>
      </c>
      <c r="E29" s="147">
        <f>IF(E$2,IF(BD!B29="-",0,BD!B29+0),0)</f>
        <v>7.7</v>
      </c>
      <c r="F29" s="147">
        <f>IF(F$148,IF(OR(BD!C29=0,BD!C29="-"),E29,BD!C29),"")</f>
        <v>5.7</v>
      </c>
      <c r="G29" s="147">
        <f>IF(G$148,IF(OR(BD!D29=0,BD!D29="-"),F29,BD!D29),"")</f>
        <v>4</v>
      </c>
      <c r="H29" s="147">
        <f>IF(H$148,IF(OR(BD!E29=0,BD!E29="-"),G29,BD!E29),"")</f>
        <v>4.2</v>
      </c>
      <c r="I29" s="147">
        <f>IF(I$148,IF(OR(BD!F29=0,BD!F29="-"),H29,BD!F29),"")</f>
        <v>4.8</v>
      </c>
      <c r="J29" s="147">
        <f>IF(J$148,IF(OR(BD!G29=0,BD!G29="-"),I29,BD!G29),"")</f>
        <v>4.7</v>
      </c>
      <c r="K29" s="147">
        <f>IF(K$148,IF(OR(BD!H29=0,BD!H29="-"),J29,BD!H29),"")</f>
        <v>3.5</v>
      </c>
      <c r="L29" s="147">
        <f>IF(L$148,IF(OR(BD!I29=0,BD!I29="-"),K29,BD!I29),"")</f>
        <v>4.9000000000000004</v>
      </c>
      <c r="M29" s="147">
        <f>IF(M$148,IF(OR(BD!J29=0,BD!J29="-"),L29,BD!J29),"")</f>
        <v>4.7</v>
      </c>
      <c r="N29" s="147">
        <f>IF(N$148,IF(OR(BD!K29=0,BD!K29="-"),M29,BD!K29),"")</f>
        <v>5</v>
      </c>
      <c r="O29" s="147">
        <f>IF(O$148,IF(OR(BD!L29=0,BD!L29="-"),N29,BD!L29),"")</f>
        <v>4.8</v>
      </c>
      <c r="P29" s="147">
        <f>IF(P$148,IF(OR(BD!M29=0,BD!M29="-"),O29,BD!M29),"")</f>
        <v>4.2</v>
      </c>
      <c r="Q29" s="12">
        <f>IF(Q$148,IF(OR(BD!N29=0,BD!N29="-"),P29,BD!N29),"")</f>
        <v>4.2</v>
      </c>
      <c r="R29" s="12">
        <f>IF(R$148,IF(OR(BD!O29=0,BD!O29="-"),Q29,BD!O29),"")</f>
        <v>4.2</v>
      </c>
      <c r="S29" s="12">
        <f>IF(S$148,IF(OR(BD!P29=0,BD!P29="-"),R29,BD!P29),"")</f>
        <v>4.2</v>
      </c>
    </row>
    <row r="30" spans="1:19">
      <c r="A30" s="34" t="str">
        <f>BD!A30</f>
        <v>Total de Dobras*</v>
      </c>
      <c r="B30" s="155" t="e">
        <f t="shared" ca="1" si="8"/>
        <v>#NAME?</v>
      </c>
      <c r="C30" s="155">
        <f t="shared" ca="1" si="9"/>
        <v>33.400000000000006</v>
      </c>
      <c r="D30" s="156" t="e">
        <f t="shared" ca="1" si="10"/>
        <v>#NAME?</v>
      </c>
      <c r="E30" s="147">
        <f>IF(E$2,IF(BD!B30="-",0,BD!B30+0),0)</f>
        <v>89.7</v>
      </c>
      <c r="F30" s="147">
        <f>IF(F$148,IF(OR(BD!C30=0,BD!C30="-"),E30,BD!C30),"")</f>
        <v>45.2</v>
      </c>
      <c r="G30" s="147">
        <f>IF(G$148,IF(OR(BD!D30=0,BD!D30="-"),F30,BD!D30),"")</f>
        <v>32</v>
      </c>
      <c r="H30" s="147">
        <f>IF(H$148,IF(OR(BD!E30=0,BD!E30="-"),G30,BD!E30),"")</f>
        <v>30.099999999999998</v>
      </c>
      <c r="I30" s="147">
        <f>IF(I$148,IF(OR(BD!F30=0,BD!F30="-"),H30,BD!F30),"")</f>
        <v>39.4</v>
      </c>
      <c r="J30" s="147">
        <f>IF(J$148,IF(OR(BD!G30=0,BD!G30="-"),I30,BD!G30),"")</f>
        <v>30.2</v>
      </c>
      <c r="K30" s="147">
        <f>IF(K$148,IF(OR(BD!H30=0,BD!H30="-"),J30,BD!H30),"")</f>
        <v>29.400000000000002</v>
      </c>
      <c r="L30" s="147">
        <f>IF(L$148,IF(OR(BD!I30=0,BD!I30="-"),K30,BD!I30),"")</f>
        <v>41.199999999999996</v>
      </c>
      <c r="M30" s="147">
        <f>IF(M$148,IF(OR(BD!J30=0,BD!J30="-"),L30,BD!J30),"")</f>
        <v>39.5</v>
      </c>
      <c r="N30" s="147">
        <f>IF(N$148,IF(OR(BD!K30=0,BD!K30="-"),M30,BD!K30),"")</f>
        <v>37.900000000000006</v>
      </c>
      <c r="O30" s="147">
        <f>IF(O$148,IF(OR(BD!L30=0,BD!L30="-"),N30,BD!L30),"")</f>
        <v>32.9</v>
      </c>
      <c r="P30" s="147">
        <f>IF(P$148,IF(OR(BD!M30=0,BD!M30="-"),O30,BD!M30),"")</f>
        <v>33.400000000000006</v>
      </c>
      <c r="Q30" s="12">
        <f>IF(Q$148,IF(OR(BD!N30=0,BD!N30="-"),P30,BD!N30),"")</f>
        <v>33.400000000000006</v>
      </c>
      <c r="R30" s="12">
        <f>IF(R$148,IF(OR(BD!O30=0,BD!O30="-"),Q30,BD!O30),"")</f>
        <v>33.400000000000006</v>
      </c>
      <c r="S30" s="12">
        <f>IF(S$148,IF(OR(BD!P30=0,BD!P30="-"),R30,BD!P30),"")</f>
        <v>33.400000000000006</v>
      </c>
    </row>
    <row r="31" spans="1:19">
      <c r="A31" s="34" t="str">
        <f>BD!A31</f>
        <v>% Gordura</v>
      </c>
      <c r="B31" s="155" t="e">
        <f t="shared" ca="1" si="8"/>
        <v>#NAME?</v>
      </c>
      <c r="C31" s="155" t="e">
        <f t="shared" ca="1" si="9"/>
        <v>#VALUE!</v>
      </c>
      <c r="D31" s="156" t="e">
        <f t="shared" ca="1" si="10"/>
        <v>#NAME?</v>
      </c>
      <c r="E31" s="147">
        <f>IF(E$2,IF(BD!B31="-",0,BD!B31+0),0)</f>
        <v>18.869854774676131</v>
      </c>
      <c r="F31" s="147">
        <f>IF(F$148,IF(OR(BD!C31=0,BD!C31="-"),E31,BD!C31),"")</f>
        <v>7.9336268643396046</v>
      </c>
      <c r="G31" s="147">
        <f>IF(G$148,IF(OR(BD!D31=0,BD!D31="-"),F31,BD!D31),"")</f>
        <v>5.1008896109331126</v>
      </c>
      <c r="H31" s="147">
        <f>IF(H$148,IF(OR(BD!E31=0,BD!E31="-"),G31,BD!E31),"")</f>
        <v>4.3933085423256024</v>
      </c>
      <c r="I31" s="147">
        <f>IF(I$148,IF(OR(BD!F31=0,BD!F31="-"),H31,BD!F31),"")</f>
        <v>7.5404617011822772</v>
      </c>
      <c r="J31" s="147">
        <f>IF(J$148,IF(OR(BD!G31=0,BD!G31="-"),I31,BD!G31),"")</f>
        <v>3.1731157196311699</v>
      </c>
      <c r="K31" s="147">
        <f>IF(K$148,IF(OR(BD!H31=0,BD!H31="-"),J31,BD!H31),"")</f>
        <v>3.4892467242437775</v>
      </c>
      <c r="L31" s="147">
        <f>IF(L$148,IF(OR(BD!I31=0,BD!I31="-"),K31,BD!I31),"")</f>
        <v>7.3103482217478977</v>
      </c>
      <c r="M31" s="147">
        <f>IF(M$148,IF(OR(BD!J31=0,BD!J31="-"),L31,BD!J31),"")</f>
        <v>7.016858765108136</v>
      </c>
      <c r="N31" s="147">
        <f>IF(N$148,IF(OR(BD!K31=0,BD!K31="-"),M31,BD!K31),"")</f>
        <v>6.8975808806644778</v>
      </c>
      <c r="O31" s="147">
        <f>IF(O$148,IF(OR(BD!L31=0,BD!L31="-"),N31,BD!L31),"")</f>
        <v>4.6810318127050721</v>
      </c>
      <c r="P31" s="147">
        <f>IF(P$148,IF(OR(BD!M31=0,BD!M31="-"),O31,BD!M31),"")</f>
        <v>4.4658459979710408</v>
      </c>
      <c r="Q31" s="12" t="e">
        <f>IF(Q$148,IF(OR(BD!N31=0,BD!N31="-"),P31,BD!N31),"")</f>
        <v>#VALUE!</v>
      </c>
      <c r="R31" s="12" t="e">
        <f>IF(R$148,IF(OR(BD!O31=0,BD!O31="-"),Q31,BD!O31),"")</f>
        <v>#VALUE!</v>
      </c>
      <c r="S31" s="12" t="e">
        <f>IF(S$148,IF(OR(BD!P31=0,BD!P31="-"),R31,BD!P31),"")</f>
        <v>#VALUE!</v>
      </c>
    </row>
    <row r="32" spans="1:19">
      <c r="A32" s="34" t="str">
        <f>BD!A32</f>
        <v>Gordura Absoluta (kg)</v>
      </c>
      <c r="B32" s="155" t="e">
        <f t="shared" ca="1" si="8"/>
        <v>#NAME?</v>
      </c>
      <c r="C32" s="155" t="e">
        <f t="shared" ca="1" si="9"/>
        <v>#VALUE!</v>
      </c>
      <c r="D32" s="156" t="e">
        <f t="shared" ca="1" si="10"/>
        <v>#NAME?</v>
      </c>
      <c r="E32" s="147">
        <f>IF(E$2,IF(BD!B32="-",0,BD!B32+0),0)</f>
        <v>14.284480064429831</v>
      </c>
      <c r="F32" s="147">
        <f>IF(F$148,IF(OR(BD!C32=0,BD!C32="-"),E32,BD!C32),"")</f>
        <v>5.3948662677509311</v>
      </c>
      <c r="G32" s="147">
        <f>IF(G$148,IF(OR(BD!D32=0,BD!D32="-"),F32,BD!D32),"")</f>
        <v>3.1982577860550618</v>
      </c>
      <c r="H32" s="147">
        <f>IF(H$148,IF(OR(BD!E32=0,BD!E32="-"),G32,BD!E32),"")</f>
        <v>2.8512572439693162</v>
      </c>
      <c r="I32" s="147">
        <f>IF(I$148,IF(OR(BD!F32=0,BD!F32="-"),H32,BD!F32),"")</f>
        <v>5.1048925717004012</v>
      </c>
      <c r="J32" s="147">
        <f>IF(J$148,IF(OR(BD!G32=0,BD!G32="-"),I32,BD!G32),"")</f>
        <v>2.1450262264706708</v>
      </c>
      <c r="K32" s="147">
        <f>IF(K$148,IF(OR(BD!H32=0,BD!H32="-"),J32,BD!H32),"")</f>
        <v>2.3587307855887936</v>
      </c>
      <c r="L32" s="147">
        <f>IF(L$148,IF(OR(BD!I32=0,BD!I32="-"),K32,BD!I32),"")</f>
        <v>5.168416192775763</v>
      </c>
      <c r="M32" s="147">
        <f>IF(M$148,IF(OR(BD!J32=0,BD!J32="-"),L32,BD!J32),"")</f>
        <v>4.8416325479246138</v>
      </c>
      <c r="N32" s="147">
        <f>IF(N$148,IF(OR(BD!K32=0,BD!K32="-"),M32,BD!K32),"")</f>
        <v>4.7317404841358313</v>
      </c>
      <c r="O32" s="147">
        <f>IF(O$148,IF(OR(BD!L32=0,BD!L32="-"),N32,BD!L32),"")</f>
        <v>3.1362913145123978</v>
      </c>
      <c r="P32" s="147">
        <f>IF(P$148,IF(OR(BD!M32=0,BD!M32="-"),O32,BD!M32),"")</f>
        <v>3.1260921985797285</v>
      </c>
      <c r="Q32" s="12" t="e">
        <f>IF(Q$148,IF(OR(BD!N32=0,BD!N32="-"),P32,BD!N32),"")</f>
        <v>#VALUE!</v>
      </c>
      <c r="R32" s="12" t="e">
        <f>IF(R$148,IF(OR(BD!O32=0,BD!O32="-"),Q32,BD!O32),"")</f>
        <v>#VALUE!</v>
      </c>
      <c r="S32" s="12" t="e">
        <f>IF(S$148,IF(OR(BD!P32=0,BD!P32="-"),R32,BD!P32),"")</f>
        <v>#VALUE!</v>
      </c>
    </row>
    <row r="33" spans="1:19">
      <c r="A33" s="34" t="str">
        <f>BD!A33</f>
        <v>Massa Magra (kg)</v>
      </c>
      <c r="B33" s="155" t="e">
        <f t="shared" ca="1" si="8"/>
        <v>#NAME?</v>
      </c>
      <c r="C33" s="155" t="e">
        <f t="shared" ca="1" si="9"/>
        <v>#VALUE!</v>
      </c>
      <c r="D33" s="156" t="e">
        <f t="shared" ca="1" si="10"/>
        <v>#NAME?</v>
      </c>
      <c r="E33" s="147">
        <f>IF(E$2,IF(BD!B33="-",0,BD!B33+0),0)</f>
        <v>61.415519935570174</v>
      </c>
      <c r="F33" s="147">
        <f>IF(F$148,IF(OR(BD!C33=0,BD!C33="-"),E33,BD!C33),"")</f>
        <v>62.605133732249072</v>
      </c>
      <c r="G33" s="147">
        <f>IF(G$148,IF(OR(BD!D33=0,BD!D33="-"),F33,BD!D33),"")</f>
        <v>59.501742213944944</v>
      </c>
      <c r="H33" s="147">
        <f>IF(H$148,IF(OR(BD!E33=0,BD!E33="-"),G33,BD!E33),"")</f>
        <v>62.048742756030691</v>
      </c>
      <c r="I33" s="147">
        <f>IF(I$148,IF(OR(BD!F33=0,BD!F33="-"),H33,BD!F33),"")</f>
        <v>62.595107428299599</v>
      </c>
      <c r="J33" s="147">
        <f>IF(J$148,IF(OR(BD!G33=0,BD!G33="-"),I33,BD!G33),"")</f>
        <v>65.454973773529318</v>
      </c>
      <c r="K33" s="147">
        <f>IF(K$148,IF(OR(BD!H33=0,BD!H33="-"),J33,BD!H33),"")</f>
        <v>65.241269214411204</v>
      </c>
      <c r="L33" s="147">
        <f>IF(L$148,IF(OR(BD!I33=0,BD!I33="-"),K33,BD!I33),"")</f>
        <v>65.531583807224237</v>
      </c>
      <c r="M33" s="147">
        <f>IF(M$148,IF(OR(BD!J33=0,BD!J33="-"),L33,BD!J33),"")</f>
        <v>64.158367452075382</v>
      </c>
      <c r="N33" s="147">
        <f>IF(N$148,IF(OR(BD!K33=0,BD!K33="-"),M33,BD!K33),"")</f>
        <v>63.86825951586416</v>
      </c>
      <c r="O33" s="147">
        <f>IF(O$148,IF(OR(BD!L33=0,BD!L33="-"),N33,BD!L33),"")</f>
        <v>63.863708685487602</v>
      </c>
      <c r="P33" s="147">
        <f>IF(P$148,IF(OR(BD!M33=0,BD!M33="-"),O33,BD!M33),"")</f>
        <v>66.873907801420273</v>
      </c>
      <c r="Q33" s="12" t="e">
        <f>IF(Q$148,IF(OR(BD!N33=0,BD!N33="-"),P33,BD!N33),"")</f>
        <v>#VALUE!</v>
      </c>
      <c r="R33" s="12" t="e">
        <f>IF(R$148,IF(OR(BD!O33=0,BD!O33="-"),Q33,BD!O33),"")</f>
        <v>#VALUE!</v>
      </c>
      <c r="S33" s="12" t="e">
        <f>IF(S$148,IF(OR(BD!P33=0,BD!P33="-"),R33,BD!P33),"")</f>
        <v>#VALUE!</v>
      </c>
    </row>
    <row r="34" spans="1:19">
      <c r="A34" s="34" t="str">
        <f>BD!A34</f>
        <v>Massa Muscular 
(kg; bioimpedância)</v>
      </c>
      <c r="B34" s="155" t="e">
        <f t="shared" ca="1" si="8"/>
        <v>#NAME?</v>
      </c>
      <c r="C34" s="155">
        <f t="shared" ca="1" si="9"/>
        <v>34</v>
      </c>
      <c r="D34" s="156" t="e">
        <f t="shared" ca="1" si="10"/>
        <v>#NAME?</v>
      </c>
      <c r="E34" s="147">
        <f>IF(E$2,IF(BD!B34="-",0,BD!B34+0),0)</f>
        <v>31.1</v>
      </c>
      <c r="F34" s="147">
        <f>IF(F$148,IF(OR(BD!C34=0,BD!C34="-"),E34,BD!C34),"")</f>
        <v>31.5</v>
      </c>
      <c r="G34" s="147">
        <f>IF(G$148,IF(OR(BD!D34=0,BD!D34="-"),F34,BD!D34),"")</f>
        <v>30.9</v>
      </c>
      <c r="H34" s="147">
        <f>IF(H$148,IF(OR(BD!E34=0,BD!E34="-"),G34,BD!E34),"")</f>
        <v>33.5</v>
      </c>
      <c r="I34" s="147">
        <f>IF(I$148,IF(OR(BD!F34=0,BD!F34="-"),H34,BD!F34),"")</f>
        <v>33.6</v>
      </c>
      <c r="J34" s="147">
        <f>IF(J$148,IF(OR(BD!G34=0,BD!G34="-"),I34,BD!G34),"")</f>
        <v>34.1</v>
      </c>
      <c r="K34" s="147">
        <f>IF(K$148,IF(OR(BD!H34=0,BD!H34="-"),J34,BD!H34),"")</f>
        <v>34.1</v>
      </c>
      <c r="L34" s="147">
        <f>IF(L$148,IF(OR(BD!I34=0,BD!I34="-"),K34,BD!I34),"")</f>
        <v>34.1</v>
      </c>
      <c r="M34" s="147">
        <f>IF(M$148,IF(OR(BD!J34=0,BD!J34="-"),L34,BD!J34),"")</f>
        <v>33.4</v>
      </c>
      <c r="N34" s="147">
        <f>IF(N$148,IF(OR(BD!K34=0,BD!K34="-"),M34,BD!K34),"")</f>
        <v>34.1</v>
      </c>
      <c r="O34" s="147">
        <f>IF(O$148,IF(OR(BD!L34=0,BD!L34="-"),N34,BD!L34),"")</f>
        <v>34.1</v>
      </c>
      <c r="P34" s="147">
        <f>IF(P$148,IF(OR(BD!M34=0,BD!M34="-"),O34,BD!M34),"")</f>
        <v>34</v>
      </c>
      <c r="Q34" s="12">
        <f>IF(Q$148,IF(OR(BD!N34=0,BD!N34="-"),P34,BD!N34),"")</f>
        <v>34</v>
      </c>
      <c r="R34" s="12">
        <f>IF(R$148,IF(OR(BD!O34=0,BD!O34="-"),Q34,BD!O34),"")</f>
        <v>34</v>
      </c>
      <c r="S34" s="12">
        <f>IF(S$148,IF(OR(BD!P34=0,BD!P34="-"),R34,BD!P34),"")</f>
        <v>34</v>
      </c>
    </row>
    <row r="35" spans="1:19">
      <c r="A35" s="34" t="str">
        <f>BD!A35</f>
        <v>Nível de Gordura Visceral (ua; bioimpedância)</v>
      </c>
      <c r="B35" s="155" t="e">
        <f t="shared" ca="1" si="8"/>
        <v>#NAME?</v>
      </c>
      <c r="C35" s="155">
        <f t="shared" ca="1" si="9"/>
        <v>9</v>
      </c>
      <c r="D35" s="156" t="e">
        <f t="shared" ca="1" si="10"/>
        <v>#NAME?</v>
      </c>
      <c r="E35" s="147">
        <f>IF(E$2,IF(BD!B35="-",0,BD!B35+0),0)</f>
        <v>9</v>
      </c>
      <c r="F35" s="147">
        <f>IF(F$148,IF(OR(BD!C35=0,BD!C35="-"),E35,BD!C35),"")</f>
        <v>8</v>
      </c>
      <c r="G35" s="147">
        <f>IF(G$148,IF(OR(BD!D35=0,BD!D35="-"),F35,BD!D35),"")</f>
        <v>2</v>
      </c>
      <c r="H35" s="147">
        <f>IF(H$148,IF(OR(BD!E35=0,BD!E35="-"),G35,BD!E35),"")</f>
        <v>1</v>
      </c>
      <c r="I35" s="147">
        <f>IF(I$148,IF(OR(BD!F35=0,BD!F35="-"),H35,BD!F35),"")</f>
        <v>2</v>
      </c>
      <c r="J35" s="147">
        <f>IF(J$148,IF(OR(BD!G35=0,BD!G35="-"),I35,BD!G35),"")</f>
        <v>2</v>
      </c>
      <c r="K35" s="147">
        <f>IF(K$148,IF(OR(BD!H35=0,BD!H35="-"),J35,BD!H35),"")</f>
        <v>2</v>
      </c>
      <c r="L35" s="147">
        <f>IF(L$148,IF(OR(BD!I35=0,BD!I35="-"),K35,BD!I35),"")</f>
        <v>6</v>
      </c>
      <c r="M35" s="147">
        <f>IF(M$148,IF(OR(BD!J35=0,BD!J35="-"),L35,BD!J35),"")</f>
        <v>9</v>
      </c>
      <c r="N35" s="147">
        <f>IF(N$148,IF(OR(BD!K35=0,BD!K35="-"),M35,BD!K35),"")</f>
        <v>8</v>
      </c>
      <c r="O35" s="147">
        <f>IF(O$148,IF(OR(BD!L35=0,BD!L35="-"),N35,BD!L35),"")</f>
        <v>8</v>
      </c>
      <c r="P35" s="147">
        <f>IF(P$148,IF(OR(BD!M35=0,BD!M35="-"),O35,BD!M35),"")</f>
        <v>9</v>
      </c>
      <c r="Q35" s="12">
        <f>IF(Q$148,IF(OR(BD!N35=0,BD!N35="-"),P35,BD!N35),"")</f>
        <v>9</v>
      </c>
      <c r="R35" s="12">
        <f>IF(R$148,IF(OR(BD!O35=0,BD!O35="-"),Q35,BD!O35),"")</f>
        <v>9</v>
      </c>
      <c r="S35" s="12">
        <f>IF(S$148,IF(OR(BD!P35=0,BD!P35="-"),R35,BD!P35),"")</f>
        <v>9</v>
      </c>
    </row>
    <row r="36" spans="1:19">
      <c r="A36" s="34" t="str">
        <f>BD!A36</f>
        <v>Taxa Metabólica Basal
(kcal; bioimpedância)</v>
      </c>
      <c r="B36" s="155" t="e">
        <f t="shared" ca="1" si="8"/>
        <v>#NAME?</v>
      </c>
      <c r="C36" s="155">
        <f t="shared" ca="1" si="9"/>
        <v>1630</v>
      </c>
      <c r="D36" s="156" t="e">
        <f t="shared" ca="1" si="10"/>
        <v>#NAME?</v>
      </c>
      <c r="E36" s="12">
        <f>IF(E$2,IF(BD!B36="-",0,BD!B36+0),0)</f>
        <v>0</v>
      </c>
      <c r="F36" s="12">
        <f>IF(F$148,IF(OR(BD!C36=0,BD!C36="-"),E36,BD!C36),"")</f>
        <v>0</v>
      </c>
      <c r="G36" s="12">
        <f>IF(G$148,IF(OR(BD!D36=0,BD!D36="-"),F36,BD!D36),"")</f>
        <v>0</v>
      </c>
      <c r="H36" s="12">
        <f>IF(H$148,IF(OR(BD!E36=0,BD!E36="-"),G36,BD!E36),"")</f>
        <v>0</v>
      </c>
      <c r="I36" s="12">
        <f>IF(I$148,IF(OR(BD!F36=0,BD!F36="-"),H36,BD!F36),"")</f>
        <v>0</v>
      </c>
      <c r="J36" s="12">
        <f>IF(J$148,IF(OR(BD!G36=0,BD!G36="-"),I36,BD!G36),"")</f>
        <v>0</v>
      </c>
      <c r="K36" s="147">
        <f>IF(K$148,IF(OR(BD!H36=0,BD!H36="-"),J36,BD!H36),"")</f>
        <v>1498</v>
      </c>
      <c r="L36" s="147">
        <f>IF(L$148,IF(OR(BD!I36=0,BD!I36="-"),K36,BD!I36),"")</f>
        <v>1668</v>
      </c>
      <c r="M36" s="147">
        <f>IF(M$148,IF(OR(BD!J36=0,BD!J36="-"),L36,BD!J36),"")</f>
        <v>1639</v>
      </c>
      <c r="N36" s="147">
        <f>IF(N$148,IF(OR(BD!K36=0,BD!K36="-"),M36,BD!K36),"")</f>
        <v>1639</v>
      </c>
      <c r="O36" s="147">
        <f>IF(O$148,IF(OR(BD!L36=0,BD!L36="-"),N36,BD!L36),"")</f>
        <v>1601</v>
      </c>
      <c r="P36" s="147">
        <f>IF(P$148,IF(OR(BD!M36=0,BD!M36="-"),O36,BD!M36),"")</f>
        <v>1630</v>
      </c>
      <c r="Q36" s="12">
        <f>IF(Q$148,IF(OR(BD!N36=0,BD!N36="-"),P36,BD!N36),"")</f>
        <v>1630</v>
      </c>
      <c r="R36" s="12">
        <f>IF(R$148,IF(OR(BD!O36=0,BD!O36="-"),Q36,BD!O36),"")</f>
        <v>1630</v>
      </c>
      <c r="S36" s="12">
        <f>IF(S$148,IF(OR(BD!P36=0,BD!P36="-"),R36,BD!P36),"")</f>
        <v>1630</v>
      </c>
    </row>
    <row r="37" spans="1:19">
      <c r="A37" s="34" t="str">
        <f>BD!A37</f>
        <v>Taxa Metabólica Basal
(kcal; Harris Benedict)</v>
      </c>
      <c r="B37" s="155" t="e">
        <f t="shared" ca="1" si="8"/>
        <v>#NAME?</v>
      </c>
      <c r="C37" s="155">
        <f t="shared" ca="1" si="9"/>
        <v>1530.441</v>
      </c>
      <c r="D37" s="156" t="e">
        <f t="shared" ca="1" si="10"/>
        <v>#NAME?</v>
      </c>
      <c r="E37" s="147">
        <f>IF(E$2,IF(BD!B37="-",0,BD!B37+0),0)</f>
        <v>1639.9184</v>
      </c>
      <c r="F37" s="147">
        <f>IF(F$148,IF(OR(BD!C37=0,BD!C37="-"),E37,BD!C37),"")</f>
        <v>1523.2660000000001</v>
      </c>
      <c r="G37" s="147">
        <f>IF(G$148,IF(OR(BD!D37=0,BD!D37="-"),F37,BD!D37),"")</f>
        <v>1450.3910000000001</v>
      </c>
      <c r="H37" s="147">
        <f>IF(H$148,IF(OR(BD!E37=0,BD!E37="-"),G37,BD!E37),"")</f>
        <v>1480.6410000000001</v>
      </c>
      <c r="I37" s="147">
        <f>IF(I$148,IF(OR(BD!F37=0,BD!F37="-"),H37,BD!F37),"")</f>
        <v>1512.366</v>
      </c>
      <c r="J37" s="147">
        <f>IF(J$148,IF(OR(BD!G37=0,BD!G37="-"),I37,BD!G37),"")</f>
        <v>1510.991</v>
      </c>
      <c r="K37" s="147">
        <f>IF(K$148,IF(OR(BD!H37=0,BD!H37="-"),J37,BD!H37),"")</f>
        <v>1504.2160000000001</v>
      </c>
      <c r="L37" s="147">
        <f>IF(L$148,IF(OR(BD!I37=0,BD!I37="-"),K37,BD!I37),"")</f>
        <v>1546.8410000000001</v>
      </c>
      <c r="M37" s="147">
        <f>IF(M$148,IF(OR(BD!J37=0,BD!J37="-"),L37,BD!J37),"")</f>
        <v>1516.691</v>
      </c>
      <c r="N37" s="147">
        <f>IF(N$148,IF(OR(BD!K37=0,BD!K37="-"),M37,BD!K37),"")</f>
        <v>1511.191</v>
      </c>
      <c r="O37" s="147">
        <f>IF(O$148,IF(OR(BD!L37=0,BD!L37="-"),N37,BD!L37),"")</f>
        <v>1489.191</v>
      </c>
      <c r="P37" s="147">
        <f>IF(P$148,IF(OR(BD!M37=0,BD!M37="-"),O37,BD!M37),"")</f>
        <v>1530.441</v>
      </c>
      <c r="Q37" s="12">
        <f>IF(Q$148,IF(OR(BD!N37=0,BD!N37="-"),P37,BD!N37),"")</f>
        <v>1530.441</v>
      </c>
      <c r="R37" s="12">
        <f>IF(R$148,IF(OR(BD!O37=0,BD!O37="-"),Q37,BD!O37),"")</f>
        <v>1530.441</v>
      </c>
      <c r="S37" s="12">
        <f>IF(S$148,IF(OR(BD!P37=0,BD!P37="-"),R37,BD!P37),"")</f>
        <v>1530.441</v>
      </c>
    </row>
    <row r="38" spans="1:19">
      <c r="A38" s="34" t="str">
        <f>BD!A38</f>
        <v>Taxa Metabólica Basal
(kcal; Média)</v>
      </c>
      <c r="B38" s="155" t="e">
        <f t="shared" ca="1" si="8"/>
        <v>#NAME?</v>
      </c>
      <c r="C38" s="155" t="e">
        <f t="shared" ca="1" si="9"/>
        <v>#VALUE!</v>
      </c>
      <c r="D38" s="156" t="e">
        <f t="shared" ca="1" si="10"/>
        <v>#NAME?</v>
      </c>
      <c r="E38" s="147">
        <f>IF(E$2,IF(BD!B38="-",0,BD!B38+0),0)</f>
        <v>1639.9184</v>
      </c>
      <c r="F38" s="147">
        <f>IF(F$148,IF(OR(BD!C38=0,BD!C38="-"),E38,BD!C38),"")</f>
        <v>1523.2660000000001</v>
      </c>
      <c r="G38" s="147">
        <f>IF(G$148,IF(OR(BD!D38=0,BD!D38="-"),F38,BD!D38),"")</f>
        <v>1450.3910000000001</v>
      </c>
      <c r="H38" s="147">
        <f>IF(H$148,IF(OR(BD!E38=0,BD!E38="-"),G38,BD!E38),"")</f>
        <v>1480.6410000000001</v>
      </c>
      <c r="I38" s="147">
        <f>IF(I$148,IF(OR(BD!F38=0,BD!F38="-"),H38,BD!F38),"")</f>
        <v>1512.366</v>
      </c>
      <c r="J38" s="147">
        <f>IF(J$148,IF(OR(BD!G38=0,BD!G38="-"),I38,BD!G38),"")</f>
        <v>1510.991</v>
      </c>
      <c r="K38" s="147">
        <f>IF(K$148,IF(OR(BD!H38=0,BD!H38="-"),J38,BD!H38),"")</f>
        <v>1501.1080000000002</v>
      </c>
      <c r="L38" s="147">
        <f>IF(L$148,IF(OR(BD!I38=0,BD!I38="-"),K38,BD!I38),"")</f>
        <v>1607.4205000000002</v>
      </c>
      <c r="M38" s="147">
        <f>IF(M$148,IF(OR(BD!J38=0,BD!J38="-"),L38,BD!J38),"")</f>
        <v>1577.8454999999999</v>
      </c>
      <c r="N38" s="147">
        <f>IF(N$148,IF(OR(BD!K38=0,BD!K38="-"),M38,BD!K38),"")</f>
        <v>1575.0954999999999</v>
      </c>
      <c r="O38" s="147">
        <f>IF(O$148,IF(OR(BD!L38=0,BD!L38="-"),N38,BD!L38),"")</f>
        <v>1545.0954999999999</v>
      </c>
      <c r="P38" s="147">
        <f>IF(P$148,IF(OR(BD!M38=0,BD!M38="-"),O38,BD!M38),"")</f>
        <v>1580.2204999999999</v>
      </c>
      <c r="Q38" s="12" t="e">
        <f>IF(Q$148,IF(OR(BD!N38=0,BD!N38="-"),P38,BD!N38),"")</f>
        <v>#VALUE!</v>
      </c>
      <c r="R38" s="12" t="e">
        <f>IF(R$148,IF(OR(BD!O38=0,BD!O38="-"),Q38,BD!O38),"")</f>
        <v>#VALUE!</v>
      </c>
      <c r="S38" s="12" t="e">
        <f>IF(S$148,IF(OR(BD!P38=0,BD!P38="-"),R38,BD!P38),"")</f>
        <v>#VALUE!</v>
      </c>
    </row>
    <row r="39" spans="1:19">
      <c r="A39" s="34" t="str">
        <f>BD!A39</f>
        <v>Área Muscular do Braço - UMA (cm²)</v>
      </c>
      <c r="B39" s="155" t="e">
        <f t="shared" ca="1" si="8"/>
        <v>#NAME?</v>
      </c>
      <c r="C39" s="155">
        <f t="shared" ca="1" si="9"/>
        <v>76.137932550669717</v>
      </c>
      <c r="D39" s="156" t="e">
        <f t="shared" ca="1" si="10"/>
        <v>#NAME?</v>
      </c>
      <c r="E39" s="147">
        <f>IF(E$2,IF(BD!B39="-",0,BD!B39+0),0)</f>
        <v>57.943381553674563</v>
      </c>
      <c r="F39" s="147">
        <f>IF(F$148,IF(OR(BD!C39=0,BD!C39="-"),E39,BD!C39),"")</f>
        <v>74.905684870669717</v>
      </c>
      <c r="G39" s="147">
        <f>IF(G$148,IF(OR(BD!D39=0,BD!D39="-"),F39,BD!D39),"")</f>
        <v>65.745220913674558</v>
      </c>
      <c r="H39" s="147">
        <f>IF(H$148,IF(OR(BD!E39=0,BD!E39="-"),G39,BD!E39),"")</f>
        <v>70.697183086712499</v>
      </c>
      <c r="I39" s="147">
        <f>IF(I$148,IF(OR(BD!F39=0,BD!F39="-"),H39,BD!F39),"")</f>
        <v>75.212804310669725</v>
      </c>
      <c r="J39" s="147">
        <f>IF(J$148,IF(OR(BD!G39=0,BD!G39="-"),I39,BD!G39),"")</f>
        <v>71.594196286712503</v>
      </c>
      <c r="K39" s="147">
        <f>IF(K$148,IF(OR(BD!H39=0,BD!H39="-"),J39,BD!H39),"")</f>
        <v>76.447565270669728</v>
      </c>
      <c r="L39" s="147">
        <f>IF(L$148,IF(OR(BD!I39=0,BD!I39="-"),K39,BD!I39),"")</f>
        <v>80.127219028897372</v>
      </c>
      <c r="M39" s="147">
        <f>IF(M$148,IF(OR(BD!J39=0,BD!J39="-"),L39,BD!J39),"")</f>
        <v>76.137932550669717</v>
      </c>
      <c r="N39" s="147">
        <f>IF(N$148,IF(OR(BD!K39=0,BD!K39="-"),M39,BD!K39),"")</f>
        <v>76.137932550669717</v>
      </c>
      <c r="O39" s="147">
        <f>IF(O$148,IF(OR(BD!L39=0,BD!L39="-"),N39,BD!L39),"")</f>
        <v>76.137932550669717</v>
      </c>
      <c r="P39" s="147">
        <f>IF(P$148,IF(OR(BD!M39=0,BD!M39="-"),O39,BD!M39),"")</f>
        <v>76.137932550669717</v>
      </c>
      <c r="Q39" s="12">
        <f>IF(Q$148,IF(OR(BD!N39=0,BD!N39="-"),P39,BD!N39),"")</f>
        <v>76.137932550669717</v>
      </c>
      <c r="R39" s="12">
        <f>IF(R$148,IF(OR(BD!O39=0,BD!O39="-"),Q39,BD!O39),"")</f>
        <v>76.137932550669717</v>
      </c>
      <c r="S39" s="12">
        <f>IF(S$148,IF(OR(BD!P39=0,BD!P39="-"),R39,BD!P39),"")</f>
        <v>76.137932550669717</v>
      </c>
    </row>
    <row r="40" spans="1:19">
      <c r="A40" s="34" t="str">
        <f>BD!A40</f>
        <v>IMC</v>
      </c>
      <c r="B40" s="155" t="e">
        <f t="shared" ca="1" si="8"/>
        <v>#NAME?</v>
      </c>
      <c r="C40" s="155">
        <f t="shared" ca="1" si="9"/>
        <v>23.661438615467823</v>
      </c>
      <c r="D40" s="156" t="e">
        <f t="shared" ca="1" si="10"/>
        <v>#NAME?</v>
      </c>
      <c r="E40" s="147">
        <f>IF(E$2,IF(BD!B40="-",0,BD!B40+0),0)</f>
        <v>25.35177683470507</v>
      </c>
      <c r="F40" s="147">
        <f>IF(F$148,IF(OR(BD!C40=0,BD!C40="-"),E40,BD!C40),"")</f>
        <v>22.985397512168742</v>
      </c>
      <c r="G40" s="147">
        <f>IF(G$148,IF(OR(BD!D40=0,BD!D40="-"),F40,BD!D40),"")</f>
        <v>21.19388858842618</v>
      </c>
      <c r="H40" s="147">
        <f>IF(H$148,IF(OR(BD!E40=0,BD!E40="-"),G40,BD!E40),"")</f>
        <v>21.937533802055171</v>
      </c>
      <c r="I40" s="147">
        <f>IF(I$148,IF(OR(BD!F40=0,BD!F40="-"),H40,BD!F40),"")</f>
        <v>22.883991346673881</v>
      </c>
      <c r="J40" s="147">
        <f>IF(J$148,IF(OR(BD!G40=0,BD!G40="-"),I40,BD!G40),"")</f>
        <v>22.850189291508926</v>
      </c>
      <c r="K40" s="147">
        <f>IF(K$148,IF(OR(BD!H40=0,BD!H40="-"),J40,BD!H40),"")</f>
        <v>22.850189291508926</v>
      </c>
      <c r="L40" s="147">
        <f>IF(L$148,IF(OR(BD!I40=0,BD!I40="-"),K40,BD!I40),"")</f>
        <v>23.8980530016225</v>
      </c>
      <c r="M40" s="147">
        <f>IF(M$148,IF(OR(BD!J40=0,BD!J40="-"),L40,BD!J40),"")</f>
        <v>23.323418063818284</v>
      </c>
      <c r="N40" s="147">
        <f>IF(N$148,IF(OR(BD!K40=0,BD!K40="-"),M40,BD!K40),"")</f>
        <v>23.188209843158464</v>
      </c>
      <c r="O40" s="147">
        <f>IF(O$148,IF(OR(BD!L40=0,BD!L40="-"),N40,BD!L40),"")</f>
        <v>22.647376960519203</v>
      </c>
      <c r="P40" s="147">
        <f>IF(P$148,IF(OR(BD!M40=0,BD!M40="-"),O40,BD!M40),"")</f>
        <v>23.661438615467823</v>
      </c>
      <c r="Q40" s="12">
        <f>IF(Q$148,IF(OR(BD!N40=0,BD!N40="-"),P40,BD!N40),"")</f>
        <v>23.661438615467823</v>
      </c>
      <c r="R40" s="12">
        <f>IF(R$148,IF(OR(BD!O40=0,BD!O40="-"),Q40,BD!O40),"")</f>
        <v>23.661438615467823</v>
      </c>
      <c r="S40" s="12">
        <f>IF(S$148,IF(OR(BD!P40=0,BD!P40="-"),R40,BD!P40),"")</f>
        <v>23.661438615467823</v>
      </c>
    </row>
    <row r="41" spans="1:19">
      <c r="B41" s="157"/>
      <c r="C41" s="150"/>
      <c r="D41" s="156"/>
      <c r="E41" s="12"/>
      <c r="F41" s="12"/>
      <c r="G41" s="12"/>
      <c r="H41" s="12"/>
      <c r="I41" s="12"/>
      <c r="J41" s="12"/>
      <c r="K41" s="12"/>
      <c r="L41" s="12"/>
      <c r="M41" s="12"/>
      <c r="N41" s="12"/>
      <c r="O41" s="12"/>
      <c r="P41" s="12"/>
      <c r="Q41" s="12"/>
      <c r="R41" s="12"/>
      <c r="S41" s="12"/>
    </row>
    <row r="42" spans="1:19">
      <c r="A42" s="34" t="str">
        <f>BD!A42</f>
        <v>M. Anter. do Br.(mm) - p1</v>
      </c>
      <c r="B42" s="155" t="e">
        <f t="shared" ref="B42:B59" ca="1" si="11">_xludf.IFS($E42+0&gt;0,$E42,$F42+0&gt;0,$F42,$G42+0&gt;0,$G42,$H42+0&gt;0,$H42,$I42+0&gt;0,$I42,$J42+0&gt;0,$J42,$K42+0&gt;0,$K42,$L42+0&gt;0,$L42,$M42+0&gt;0,$M42,$N42+0&gt;0,$N42,$O42+0&gt;0,$O42,$P42+0&gt;0,$P42,$Q42+0&gt;0,$Q42,$R42+0&gt;0,$R42,$S42+0&gt;0,$S42,TRUE(),"-")</f>
        <v>#NAME?</v>
      </c>
      <c r="C42" s="155">
        <f t="shared" ref="C42:C59" ca="1" si="12">OFFSET(D42,0,$A$147)</f>
        <v>35.200000000000003</v>
      </c>
      <c r="D42" s="156" t="e">
        <f t="shared" ref="D42:D59" ca="1" si="13">IF(OR(B42=0,B42="-"),"-",((C42-B42)/B42)*100)</f>
        <v>#NAME?</v>
      </c>
      <c r="E42" s="147">
        <f>IF(E$2,IF(BD!B42="-",0,BD!B42+0),0)</f>
        <v>30.7</v>
      </c>
      <c r="F42" s="147">
        <f>IF(F$148,IF(OR(BD!C42=0,BD!C42="-"),E42,BD!C42),"")</f>
        <v>33.299999999999997</v>
      </c>
      <c r="G42" s="147">
        <f>IF(G$148,IF(OR(BD!D42=0,BD!D42="-"),F42,BD!D42),"")</f>
        <v>26.1</v>
      </c>
      <c r="H42" s="147">
        <f>IF(H$148,IF(OR(BD!E42=0,BD!E42="-"),G42,BD!E42),"")</f>
        <v>31.5</v>
      </c>
      <c r="I42" s="147">
        <f>IF(I$148,IF(OR(BD!F42=0,BD!F42="-"),H42,BD!F42),"")</f>
        <v>36.6</v>
      </c>
      <c r="J42" s="147">
        <f>IF(J$148,IF(OR(BD!G42=0,BD!G42="-"),I42,BD!G42),"")</f>
        <v>36.6</v>
      </c>
      <c r="K42" s="147">
        <f>IF(K$148,IF(OR(BD!H42=0,BD!H42="-"),J42,BD!H42),"")</f>
        <v>31.6</v>
      </c>
      <c r="L42" s="147">
        <f>IF(L$148,IF(OR(BD!I42=0,BD!I42="-"),K42,BD!I42),"")</f>
        <v>33</v>
      </c>
      <c r="M42" s="147">
        <f>IF(M$148,IF(OR(BD!J42=0,BD!J42="-"),L42,BD!J42),"")</f>
        <v>33</v>
      </c>
      <c r="N42" s="147">
        <f>IF(N$148,IF(OR(BD!K42=0,BD!K42="-"),M42,BD!K42),"")</f>
        <v>35.200000000000003</v>
      </c>
      <c r="O42" s="147">
        <f>IF(O$148,IF(OR(BD!L42=0,BD!L42="-"),N42,BD!L42),"")</f>
        <v>35.200000000000003</v>
      </c>
      <c r="P42" s="147">
        <f>IF(P$148,IF(OR(BD!M42=0,BD!M42="-"),O42,BD!M42),"")</f>
        <v>35.200000000000003</v>
      </c>
      <c r="Q42" s="12">
        <f>IF(Q$148,IF(OR(BD!N42=0,BD!N42="-"),P42,BD!N42),"")</f>
        <v>35.200000000000003</v>
      </c>
      <c r="R42" s="12">
        <f>IF(R$148,IF(OR(BD!O42=0,BD!O42="-"),Q42,BD!O42),"")</f>
        <v>35.200000000000003</v>
      </c>
      <c r="S42" s="12">
        <f>IF(S$148,IF(OR(BD!P42=0,BD!P42="-"),R42,BD!P42),"")</f>
        <v>35.200000000000003</v>
      </c>
    </row>
    <row r="43" spans="1:19">
      <c r="A43" s="34" t="str">
        <f>BD!A43</f>
        <v>M. Anter. do Br.(mm) - p2</v>
      </c>
      <c r="B43" s="155" t="e">
        <f t="shared" ca="1" si="11"/>
        <v>#NAME?</v>
      </c>
      <c r="C43" s="150">
        <f t="shared" ca="1" si="12"/>
        <v>0</v>
      </c>
      <c r="D43" s="156" t="e">
        <f t="shared" ca="1" si="13"/>
        <v>#NAME?</v>
      </c>
      <c r="E43" s="12">
        <f>IF(E$2,IF(BD!B43="-",0,BD!B43+0),0)</f>
        <v>0</v>
      </c>
      <c r="F43" s="12">
        <f>IF(F$148,IF(OR(BD!C43=0,BD!C43="-"),E43,BD!C43),"")</f>
        <v>0</v>
      </c>
      <c r="G43" s="12">
        <f>IF(G$148,IF(OR(BD!D43=0,BD!D43="-"),F43,BD!D43),"")</f>
        <v>0</v>
      </c>
      <c r="H43" s="12">
        <f>IF(H$148,IF(OR(BD!E43=0,BD!E43="-"),G43,BD!E43),"")</f>
        <v>0</v>
      </c>
      <c r="I43" s="12">
        <f>IF(I$148,IF(OR(BD!F43=0,BD!F43="-"),H43,BD!F43),"")</f>
        <v>0</v>
      </c>
      <c r="J43" s="12">
        <f>IF(J$148,IF(OR(BD!G43=0,BD!G43="-"),I43,BD!G43),"")</f>
        <v>0</v>
      </c>
      <c r="K43" s="12">
        <f>IF(K$148,IF(OR(BD!H43=0,BD!H43="-"),J43,BD!H43),"")</f>
        <v>0</v>
      </c>
      <c r="L43" s="12">
        <f>IF(L$148,IF(OR(BD!I43=0,BD!I43="-"),K43,BD!I43),"")</f>
        <v>0</v>
      </c>
      <c r="M43" s="12">
        <f>IF(M$148,IF(OR(BD!J43=0,BD!J43="-"),L43,BD!J43),"")</f>
        <v>0</v>
      </c>
      <c r="N43" s="12">
        <f>IF(N$148,IF(OR(BD!K43=0,BD!K43="-"),M43,BD!K43),"")</f>
        <v>0</v>
      </c>
      <c r="O43" s="12">
        <f>IF(O$148,IF(OR(BD!L43=0,BD!L43="-"),N43,BD!L43),"")</f>
        <v>0</v>
      </c>
      <c r="P43" s="12">
        <f>IF(P$148,IF(OR(BD!M43=0,BD!M43="-"),O43,BD!M43),"")</f>
        <v>0</v>
      </c>
      <c r="Q43" s="12">
        <f>IF(Q$148,IF(OR(BD!N43=0,BD!N43="-"),P43,BD!N43),"")</f>
        <v>0</v>
      </c>
      <c r="R43" s="12">
        <f>IF(R$148,IF(OR(BD!O43=0,BD!O43="-"),Q43,BD!O43),"")</f>
        <v>0</v>
      </c>
      <c r="S43" s="12">
        <f>IF(S$148,IF(OR(BD!P43=0,BD!P43="-"),R43,BD!P43),"")</f>
        <v>0</v>
      </c>
    </row>
    <row r="44" spans="1:19">
      <c r="A44" s="34" t="str">
        <f>BD!A44</f>
        <v>M. Anter. do Br.(mm) - p3</v>
      </c>
      <c r="B44" s="155" t="e">
        <f t="shared" ca="1" si="11"/>
        <v>#NAME?</v>
      </c>
      <c r="C44" s="150">
        <f t="shared" ca="1" si="12"/>
        <v>0</v>
      </c>
      <c r="D44" s="156" t="e">
        <f t="shared" ca="1" si="13"/>
        <v>#NAME?</v>
      </c>
      <c r="E44" s="12">
        <f>IF(E$2,IF(BD!B44="-",0,BD!B44+0),0)</f>
        <v>0</v>
      </c>
      <c r="F44" s="12">
        <f>IF(F$148,IF(OR(BD!C44=0,BD!C44="-"),E44,BD!C44),"")</f>
        <v>0</v>
      </c>
      <c r="G44" s="12">
        <f>IF(G$148,IF(OR(BD!D44=0,BD!D44="-"),F44,BD!D44),"")</f>
        <v>0</v>
      </c>
      <c r="H44" s="12">
        <f>IF(H$148,IF(OR(BD!E44=0,BD!E44="-"),G44,BD!E44),"")</f>
        <v>0</v>
      </c>
      <c r="I44" s="12">
        <f>IF(I$148,IF(OR(BD!F44=0,BD!F44="-"),H44,BD!F44),"")</f>
        <v>0</v>
      </c>
      <c r="J44" s="12">
        <f>IF(J$148,IF(OR(BD!G44=0,BD!G44="-"),I44,BD!G44),"")</f>
        <v>0</v>
      </c>
      <c r="K44" s="12">
        <f>IF(K$148,IF(OR(BD!H44=0,BD!H44="-"),J44,BD!H44),"")</f>
        <v>0</v>
      </c>
      <c r="L44" s="12">
        <f>IF(L$148,IF(OR(BD!I44=0,BD!I44="-"),K44,BD!I44),"")</f>
        <v>0</v>
      </c>
      <c r="M44" s="12">
        <f>IF(M$148,IF(OR(BD!J44=0,BD!J44="-"),L44,BD!J44),"")</f>
        <v>0</v>
      </c>
      <c r="N44" s="12">
        <f>IF(N$148,IF(OR(BD!K44=0,BD!K44="-"),M44,BD!K44),"")</f>
        <v>0</v>
      </c>
      <c r="O44" s="12">
        <f>IF(O$148,IF(OR(BD!L44=0,BD!L44="-"),N44,BD!L44),"")</f>
        <v>0</v>
      </c>
      <c r="P44" s="12">
        <f>IF(P$148,IF(OR(BD!M44=0,BD!M44="-"),O44,BD!M44),"")</f>
        <v>0</v>
      </c>
      <c r="Q44" s="12">
        <f>IF(Q$148,IF(OR(BD!N44=0,BD!N44="-"),P44,BD!N44),"")</f>
        <v>0</v>
      </c>
      <c r="R44" s="12">
        <f>IF(R$148,IF(OR(BD!O44=0,BD!O44="-"),Q44,BD!O44),"")</f>
        <v>0</v>
      </c>
      <c r="S44" s="12">
        <f>IF(S$148,IF(OR(BD!P44=0,BD!P44="-"),R44,BD!P44),"")</f>
        <v>0</v>
      </c>
    </row>
    <row r="45" spans="1:19">
      <c r="A45" s="34" t="str">
        <f>BD!A45</f>
        <v>M. Anter. do Br.(mm) - p4</v>
      </c>
      <c r="B45" s="155" t="e">
        <f t="shared" ca="1" si="11"/>
        <v>#NAME?</v>
      </c>
      <c r="C45" s="150">
        <f t="shared" ca="1" si="12"/>
        <v>0</v>
      </c>
      <c r="D45" s="156" t="e">
        <f t="shared" ca="1" si="13"/>
        <v>#NAME?</v>
      </c>
      <c r="E45" s="12">
        <f>IF(E$2,IF(BD!B45="-",0,BD!B45+0),0)</f>
        <v>0</v>
      </c>
      <c r="F45" s="12">
        <f>IF(F$148,IF(OR(BD!C45=0,BD!C45="-"),E45,BD!C45),"")</f>
        <v>0</v>
      </c>
      <c r="G45" s="12">
        <f>IF(G$148,IF(OR(BD!D45=0,BD!D45="-"),F45,BD!D45),"")</f>
        <v>0</v>
      </c>
      <c r="H45" s="12">
        <f>IF(H$148,IF(OR(BD!E45=0,BD!E45="-"),G45,BD!E45),"")</f>
        <v>0</v>
      </c>
      <c r="I45" s="12">
        <f>IF(I$148,IF(OR(BD!F45=0,BD!F45="-"),H45,BD!F45),"")</f>
        <v>0</v>
      </c>
      <c r="J45" s="12">
        <f>IF(J$148,IF(OR(BD!G45=0,BD!G45="-"),I45,BD!G45),"")</f>
        <v>0</v>
      </c>
      <c r="K45" s="12">
        <f>IF(K$148,IF(OR(BD!H45=0,BD!H45="-"),J45,BD!H45),"")</f>
        <v>0</v>
      </c>
      <c r="L45" s="12">
        <f>IF(L$148,IF(OR(BD!I45=0,BD!I45="-"),K45,BD!I45),"")</f>
        <v>0</v>
      </c>
      <c r="M45" s="12">
        <f>IF(M$148,IF(OR(BD!J45=0,BD!J45="-"),L45,BD!J45),"")</f>
        <v>0</v>
      </c>
      <c r="N45" s="12">
        <f>IF(N$148,IF(OR(BD!K45=0,BD!K45="-"),M45,BD!K45),"")</f>
        <v>0</v>
      </c>
      <c r="O45" s="12">
        <f>IF(O$148,IF(OR(BD!L45=0,BD!L45="-"),N45,BD!L45),"")</f>
        <v>0</v>
      </c>
      <c r="P45" s="12">
        <f>IF(P$148,IF(OR(BD!M45=0,BD!M45="-"),O45,BD!M45),"")</f>
        <v>0</v>
      </c>
      <c r="Q45" s="12">
        <f>IF(Q$148,IF(OR(BD!N45=0,BD!N45="-"),P45,BD!N45),"")</f>
        <v>0</v>
      </c>
      <c r="R45" s="12">
        <f>IF(R$148,IF(OR(BD!O45=0,BD!O45="-"),Q45,BD!O45),"")</f>
        <v>0</v>
      </c>
      <c r="S45" s="12">
        <f>IF(S$148,IF(OR(BD!P45=0,BD!P45="-"),R45,BD!P45),"")</f>
        <v>0</v>
      </c>
    </row>
    <row r="46" spans="1:19">
      <c r="A46" s="34" t="str">
        <f>BD!A46</f>
        <v>Músculos Anteriores do Braço(mm)</v>
      </c>
      <c r="B46" s="155" t="e">
        <f t="shared" ca="1" si="11"/>
        <v>#NAME?</v>
      </c>
      <c r="C46" s="155">
        <f t="shared" ca="1" si="12"/>
        <v>35.200000000000003</v>
      </c>
      <c r="D46" s="156" t="e">
        <f t="shared" ca="1" si="13"/>
        <v>#NAME?</v>
      </c>
      <c r="E46" s="147">
        <f>IF(E$2,IF(BD!B46="-",0,BD!B46+0),0)</f>
        <v>30.7</v>
      </c>
      <c r="F46" s="147">
        <f>IF(F$148,IF(OR(BD!C46=0,BD!C46="-"),E46,BD!C46),"")</f>
        <v>33.299999999999997</v>
      </c>
      <c r="G46" s="147">
        <f>IF(G$148,IF(OR(BD!D46=0,BD!D46="-"),F46,BD!D46),"")</f>
        <v>26.1</v>
      </c>
      <c r="H46" s="147">
        <f>IF(H$148,IF(OR(BD!E46=0,BD!E46="-"),G46,BD!E46),"")</f>
        <v>31.5</v>
      </c>
      <c r="I46" s="147">
        <f>IF(I$148,IF(OR(BD!F46=0,BD!F46="-"),H46,BD!F46),"")</f>
        <v>36.6</v>
      </c>
      <c r="J46" s="147">
        <f>IF(J$148,IF(OR(BD!G46=0,BD!G46="-"),I46,BD!G46),"")</f>
        <v>36.6</v>
      </c>
      <c r="K46" s="147">
        <f>IF(K$148,IF(OR(BD!H46=0,BD!H46="-"),J46,BD!H46),"")</f>
        <v>31.6</v>
      </c>
      <c r="L46" s="147">
        <f>IF(L$148,IF(OR(BD!I46=0,BD!I46="-"),K46,BD!I46),"")</f>
        <v>33</v>
      </c>
      <c r="M46" s="147">
        <f>IF(M$148,IF(OR(BD!J46=0,BD!J46="-"),L46,BD!J46),"")</f>
        <v>33</v>
      </c>
      <c r="N46" s="147">
        <f>IF(N$148,IF(OR(BD!K46=0,BD!K46="-"),M46,BD!K46),"")</f>
        <v>35.200000000000003</v>
      </c>
      <c r="O46" s="147">
        <f>IF(O$148,IF(OR(BD!L46=0,BD!L46="-"),N46,BD!L46),"")</f>
        <v>35.200000000000003</v>
      </c>
      <c r="P46" s="147">
        <f>IF(P$148,IF(OR(BD!M46=0,BD!M46="-"),O46,BD!M46),"")</f>
        <v>35.200000000000003</v>
      </c>
      <c r="Q46" s="12">
        <f>IF(Q$148,IF(OR(BD!N46=0,BD!N46="-"),P46,BD!N46),"")</f>
        <v>35.200000000000003</v>
      </c>
      <c r="R46" s="12">
        <f>IF(R$148,IF(OR(BD!O46=0,BD!O46="-"),Q46,BD!O46),"")</f>
        <v>35.200000000000003</v>
      </c>
      <c r="S46" s="12">
        <f>IF(S$148,IF(OR(BD!P46=0,BD!P46="-"),R46,BD!P46),"")</f>
        <v>35.200000000000003</v>
      </c>
    </row>
    <row r="47" spans="1:19">
      <c r="A47" s="34" t="str">
        <f>BD!A47</f>
        <v>M. Post. do Br.(mm) - p1</v>
      </c>
      <c r="B47" s="155" t="e">
        <f t="shared" ca="1" si="11"/>
        <v>#NAME?</v>
      </c>
      <c r="C47" s="155">
        <f t="shared" ca="1" si="12"/>
        <v>46.5</v>
      </c>
      <c r="D47" s="156" t="e">
        <f t="shared" ca="1" si="13"/>
        <v>#NAME?</v>
      </c>
      <c r="E47" s="147">
        <f>IF(E$2,IF(BD!B47="-",0,BD!B47+0),0)</f>
        <v>31.7</v>
      </c>
      <c r="F47" s="147">
        <f>IF(F$148,IF(OR(BD!C47=0,BD!C47="-"),E47,BD!C47),"")</f>
        <v>37.200000000000003</v>
      </c>
      <c r="G47" s="147">
        <f>IF(G$148,IF(OR(BD!D47=0,BD!D47="-"),F47,BD!D47),"")</f>
        <v>39</v>
      </c>
      <c r="H47" s="147">
        <f>IF(H$148,IF(OR(BD!E47=0,BD!E47="-"),G47,BD!E47),"")</f>
        <v>39.1</v>
      </c>
      <c r="I47" s="147">
        <f>IF(I$148,IF(OR(BD!F47=0,BD!F47="-"),H47,BD!F47),"")</f>
        <v>42.1</v>
      </c>
      <c r="J47" s="147">
        <f>IF(J$148,IF(OR(BD!G47=0,BD!G47="-"),I47,BD!G47),"")</f>
        <v>42.1</v>
      </c>
      <c r="K47" s="147">
        <f>IF(K$148,IF(OR(BD!H47=0,BD!H47="-"),J47,BD!H47),"")</f>
        <v>37.200000000000003</v>
      </c>
      <c r="L47" s="147">
        <f>IF(L$148,IF(OR(BD!I47=0,BD!I47="-"),K47,BD!I47),"")</f>
        <v>41.1</v>
      </c>
      <c r="M47" s="147">
        <f>IF(M$148,IF(OR(BD!J47=0,BD!J47="-"),L47,BD!J47),"")</f>
        <v>41.1</v>
      </c>
      <c r="N47" s="147">
        <f>IF(N$148,IF(OR(BD!K47=0,BD!K47="-"),M47,BD!K47),"")</f>
        <v>46.5</v>
      </c>
      <c r="O47" s="147">
        <f>IF(O$148,IF(OR(BD!L47=0,BD!L47="-"),N47,BD!L47),"")</f>
        <v>46.5</v>
      </c>
      <c r="P47" s="147">
        <f>IF(P$148,IF(OR(BD!M47=0,BD!M47="-"),O47,BD!M47),"")</f>
        <v>46.5</v>
      </c>
      <c r="Q47" s="12">
        <f>IF(Q$148,IF(OR(BD!N47=0,BD!N47="-"),P47,BD!N47),"")</f>
        <v>46.5</v>
      </c>
      <c r="R47" s="12">
        <f>IF(R$148,IF(OR(BD!O47=0,BD!O47="-"),Q47,BD!O47),"")</f>
        <v>46.5</v>
      </c>
      <c r="S47" s="12">
        <f>IF(S$148,IF(OR(BD!P47=0,BD!P47="-"),R47,BD!P47),"")</f>
        <v>46.5</v>
      </c>
    </row>
    <row r="48" spans="1:19">
      <c r="A48" s="34" t="str">
        <f>BD!A48</f>
        <v>M. Post. do Br.(mm) - p2</v>
      </c>
      <c r="B48" s="155" t="e">
        <f t="shared" ca="1" si="11"/>
        <v>#NAME?</v>
      </c>
      <c r="C48" s="150">
        <f t="shared" ca="1" si="12"/>
        <v>0</v>
      </c>
      <c r="D48" s="156" t="e">
        <f t="shared" ca="1" si="13"/>
        <v>#NAME?</v>
      </c>
      <c r="E48" s="12">
        <f>IF(E$2,IF(BD!B48="-",0,BD!B48+0),0)</f>
        <v>0</v>
      </c>
      <c r="F48" s="12">
        <f>IF(F$148,IF(OR(BD!C48=0,BD!C48="-"),E48,BD!C48),"")</f>
        <v>0</v>
      </c>
      <c r="G48" s="12">
        <f>IF(G$148,IF(OR(BD!D48=0,BD!D48="-"),F48,BD!D48),"")</f>
        <v>0</v>
      </c>
      <c r="H48" s="12">
        <f>IF(H$148,IF(OR(BD!E48=0,BD!E48="-"),G48,BD!E48),"")</f>
        <v>0</v>
      </c>
      <c r="I48" s="12">
        <f>IF(I$148,IF(OR(BD!F48=0,BD!F48="-"),H48,BD!F48),"")</f>
        <v>0</v>
      </c>
      <c r="J48" s="12">
        <f>IF(J$148,IF(OR(BD!G48=0,BD!G48="-"),I48,BD!G48),"")</f>
        <v>0</v>
      </c>
      <c r="K48" s="12">
        <f>IF(K$148,IF(OR(BD!H48=0,BD!H48="-"),J48,BD!H48),"")</f>
        <v>0</v>
      </c>
      <c r="L48" s="12">
        <f>IF(L$148,IF(OR(BD!I48=0,BD!I48="-"),K48,BD!I48),"")</f>
        <v>0</v>
      </c>
      <c r="M48" s="12">
        <f>IF(M$148,IF(OR(BD!J48=0,BD!J48="-"),L48,BD!J48),"")</f>
        <v>0</v>
      </c>
      <c r="N48" s="12">
        <f>IF(N$148,IF(OR(BD!K48=0,BD!K48="-"),M48,BD!K48),"")</f>
        <v>0</v>
      </c>
      <c r="O48" s="12">
        <f>IF(O$148,IF(OR(BD!L48=0,BD!L48="-"),N48,BD!L48),"")</f>
        <v>0</v>
      </c>
      <c r="P48" s="12">
        <f>IF(P$148,IF(OR(BD!M48=0,BD!M48="-"),O48,BD!M48),"")</f>
        <v>0</v>
      </c>
      <c r="Q48" s="12">
        <f>IF(Q$148,IF(OR(BD!N48=0,BD!N48="-"),P48,BD!N48),"")</f>
        <v>0</v>
      </c>
      <c r="R48" s="12">
        <f>IF(R$148,IF(OR(BD!O48=0,BD!O48="-"),Q48,BD!O48),"")</f>
        <v>0</v>
      </c>
      <c r="S48" s="12">
        <f>IF(S$148,IF(OR(BD!P48=0,BD!P48="-"),R48,BD!P48),"")</f>
        <v>0</v>
      </c>
    </row>
    <row r="49" spans="1:19">
      <c r="A49" s="34" t="str">
        <f>BD!A49</f>
        <v>M. Post. do Br.(mm) - p3</v>
      </c>
      <c r="B49" s="155" t="e">
        <f t="shared" ca="1" si="11"/>
        <v>#NAME?</v>
      </c>
      <c r="C49" s="150">
        <f t="shared" ca="1" si="12"/>
        <v>0</v>
      </c>
      <c r="D49" s="156" t="e">
        <f t="shared" ca="1" si="13"/>
        <v>#NAME?</v>
      </c>
      <c r="E49" s="12">
        <f>IF(E$2,IF(BD!B49="-",0,BD!B49+0),0)</f>
        <v>0</v>
      </c>
      <c r="F49" s="12">
        <f>IF(F$148,IF(OR(BD!C49=0,BD!C49="-"),E49,BD!C49),"")</f>
        <v>0</v>
      </c>
      <c r="G49" s="12">
        <f>IF(G$148,IF(OR(BD!D49=0,BD!D49="-"),F49,BD!D49),"")</f>
        <v>0</v>
      </c>
      <c r="H49" s="12">
        <f>IF(H$148,IF(OR(BD!E49=0,BD!E49="-"),G49,BD!E49),"")</f>
        <v>0</v>
      </c>
      <c r="I49" s="12">
        <f>IF(I$148,IF(OR(BD!F49=0,BD!F49="-"),H49,BD!F49),"")</f>
        <v>0</v>
      </c>
      <c r="J49" s="12">
        <f>IF(J$148,IF(OR(BD!G49=0,BD!G49="-"),I49,BD!G49),"")</f>
        <v>0</v>
      </c>
      <c r="K49" s="12">
        <f>IF(K$148,IF(OR(BD!H49=0,BD!H49="-"),J49,BD!H49),"")</f>
        <v>0</v>
      </c>
      <c r="L49" s="12">
        <f>IF(L$148,IF(OR(BD!I49=0,BD!I49="-"),K49,BD!I49),"")</f>
        <v>0</v>
      </c>
      <c r="M49" s="12">
        <f>IF(M$148,IF(OR(BD!J49=0,BD!J49="-"),L49,BD!J49),"")</f>
        <v>0</v>
      </c>
      <c r="N49" s="12">
        <f>IF(N$148,IF(OR(BD!K49=0,BD!K49="-"),M49,BD!K49),"")</f>
        <v>0</v>
      </c>
      <c r="O49" s="12">
        <f>IF(O$148,IF(OR(BD!L49=0,BD!L49="-"),N49,BD!L49),"")</f>
        <v>0</v>
      </c>
      <c r="P49" s="12">
        <f>IF(P$148,IF(OR(BD!M49=0,BD!M49="-"),O49,BD!M49),"")</f>
        <v>0</v>
      </c>
      <c r="Q49" s="12">
        <f>IF(Q$148,IF(OR(BD!N49=0,BD!N49="-"),P49,BD!N49),"")</f>
        <v>0</v>
      </c>
      <c r="R49" s="12">
        <f>IF(R$148,IF(OR(BD!O49=0,BD!O49="-"),Q49,BD!O49),"")</f>
        <v>0</v>
      </c>
      <c r="S49" s="12">
        <f>IF(S$148,IF(OR(BD!P49=0,BD!P49="-"),R49,BD!P49),"")</f>
        <v>0</v>
      </c>
    </row>
    <row r="50" spans="1:19">
      <c r="A50" s="34" t="str">
        <f>BD!A50</f>
        <v>Músculos Posteriores do Braço(mm)</v>
      </c>
      <c r="B50" s="155" t="e">
        <f t="shared" ca="1" si="11"/>
        <v>#NAME?</v>
      </c>
      <c r="C50" s="155">
        <f t="shared" ca="1" si="12"/>
        <v>46.5</v>
      </c>
      <c r="D50" s="156" t="e">
        <f t="shared" ca="1" si="13"/>
        <v>#NAME?</v>
      </c>
      <c r="E50" s="147">
        <f>IF(E$2,IF(BD!B50="-",0,BD!B50+0),0)</f>
        <v>31.7</v>
      </c>
      <c r="F50" s="147">
        <f>IF(F$148,IF(OR(BD!C50=0,BD!C50="-"),E50,BD!C50),"")</f>
        <v>37.200000000000003</v>
      </c>
      <c r="G50" s="147">
        <f>IF(G$148,IF(OR(BD!D50=0,BD!D50="-"),F50,BD!D50),"")</f>
        <v>39</v>
      </c>
      <c r="H50" s="147">
        <f>IF(H$148,IF(OR(BD!E50=0,BD!E50="-"),G50,BD!E50),"")</f>
        <v>39.1</v>
      </c>
      <c r="I50" s="147">
        <f>IF(I$148,IF(OR(BD!F50=0,BD!F50="-"),H50,BD!F50),"")</f>
        <v>42.1</v>
      </c>
      <c r="J50" s="147">
        <f>IF(J$148,IF(OR(BD!G50=0,BD!G50="-"),I50,BD!G50),"")</f>
        <v>42.1</v>
      </c>
      <c r="K50" s="147">
        <f>IF(K$148,IF(OR(BD!H50=0,BD!H50="-"),J50,BD!H50),"")</f>
        <v>37.200000000000003</v>
      </c>
      <c r="L50" s="147">
        <f>IF(L$148,IF(OR(BD!I50=0,BD!I50="-"),K50,BD!I50),"")</f>
        <v>41.1</v>
      </c>
      <c r="M50" s="147">
        <f>IF(M$148,IF(OR(BD!J50=0,BD!J50="-"),L50,BD!J50),"")</f>
        <v>41.1</v>
      </c>
      <c r="N50" s="147">
        <f>IF(N$148,IF(OR(BD!K50=0,BD!K50="-"),M50,BD!K50),"")</f>
        <v>46.5</v>
      </c>
      <c r="O50" s="147">
        <f>IF(O$148,IF(OR(BD!L50=0,BD!L50="-"),N50,BD!L50),"")</f>
        <v>46.5</v>
      </c>
      <c r="P50" s="147">
        <f>IF(P$148,IF(OR(BD!M50=0,BD!M50="-"),O50,BD!M50),"")</f>
        <v>46.5</v>
      </c>
      <c r="Q50" s="12">
        <f>IF(Q$148,IF(OR(BD!N50=0,BD!N50="-"),P50,BD!N50),"")</f>
        <v>46.5</v>
      </c>
      <c r="R50" s="12">
        <f>IF(R$148,IF(OR(BD!O50=0,BD!O50="-"),Q50,BD!O50),"")</f>
        <v>46.5</v>
      </c>
      <c r="S50" s="12">
        <f>IF(S$148,IF(OR(BD!P50=0,BD!P50="-"),R50,BD!P50),"")</f>
        <v>46.5</v>
      </c>
    </row>
    <row r="51" spans="1:19">
      <c r="A51" s="34" t="str">
        <f>BD!A51</f>
        <v>Reto Femoral(mm) - p1</v>
      </c>
      <c r="B51" s="155" t="e">
        <f t="shared" ca="1" si="11"/>
        <v>#NAME?</v>
      </c>
      <c r="C51" s="155">
        <f t="shared" ca="1" si="12"/>
        <v>30.6</v>
      </c>
      <c r="D51" s="156" t="e">
        <f t="shared" ca="1" si="13"/>
        <v>#NAME?</v>
      </c>
      <c r="E51" s="147">
        <f>IF(E$2,IF(BD!B51="-",0,BD!B51+0),0)</f>
        <v>25.5</v>
      </c>
      <c r="F51" s="147">
        <f>IF(F$148,IF(OR(BD!C51=0,BD!C51="-"),E51,BD!C51),"")</f>
        <v>25.5</v>
      </c>
      <c r="G51" s="147">
        <f>IF(G$148,IF(OR(BD!D51=0,BD!D51="-"),F51,BD!D51),"")</f>
        <v>21.4</v>
      </c>
      <c r="H51" s="147">
        <f>IF(H$148,IF(OR(BD!E51=0,BD!E51="-"),G51,BD!E51),"")</f>
        <v>23.5</v>
      </c>
      <c r="I51" s="147">
        <f>IF(I$148,IF(OR(BD!F51=0,BD!F51="-"),H51,BD!F51),"")</f>
        <v>27.3</v>
      </c>
      <c r="J51" s="147">
        <f>IF(J$148,IF(OR(BD!G51=0,BD!G51="-"),I51,BD!G51),"")</f>
        <v>27.3</v>
      </c>
      <c r="K51" s="147">
        <f>IF(K$148,IF(OR(BD!H51=0,BD!H51="-"),J51,BD!H51),"")</f>
        <v>21.6</v>
      </c>
      <c r="L51" s="147">
        <f>IF(L$148,IF(OR(BD!I51=0,BD!I51="-"),K51,BD!I51),"")</f>
        <v>29.6</v>
      </c>
      <c r="M51" s="147">
        <f>IF(M$148,IF(OR(BD!J51=0,BD!J51="-"),L51,BD!J51),"")</f>
        <v>29.6</v>
      </c>
      <c r="N51" s="147">
        <f>IF(N$148,IF(OR(BD!K51=0,BD!K51="-"),M51,BD!K51),"")</f>
        <v>30.6</v>
      </c>
      <c r="O51" s="147">
        <f>IF(O$148,IF(OR(BD!L51=0,BD!L51="-"),N51,BD!L51),"")</f>
        <v>30.6</v>
      </c>
      <c r="P51" s="147">
        <f>IF(P$148,IF(OR(BD!M51=0,BD!M51="-"),O51,BD!M51),"")</f>
        <v>30.6</v>
      </c>
      <c r="Q51" s="12">
        <f>IF(Q$148,IF(OR(BD!N51=0,BD!N51="-"),P51,BD!N51),"")</f>
        <v>30.6</v>
      </c>
      <c r="R51" s="12">
        <f>IF(R$148,IF(OR(BD!O51=0,BD!O51="-"),Q51,BD!O51),"")</f>
        <v>30.6</v>
      </c>
      <c r="S51" s="12">
        <f>IF(S$148,IF(OR(BD!P51=0,BD!P51="-"),R51,BD!P51),"")</f>
        <v>30.6</v>
      </c>
    </row>
    <row r="52" spans="1:19">
      <c r="A52" s="34" t="str">
        <f>BD!A52</f>
        <v>Reto Femoral(mm) - p2</v>
      </c>
      <c r="B52" s="155" t="e">
        <f t="shared" ca="1" si="11"/>
        <v>#NAME?</v>
      </c>
      <c r="C52" s="150">
        <f t="shared" ca="1" si="12"/>
        <v>0</v>
      </c>
      <c r="D52" s="156" t="e">
        <f t="shared" ca="1" si="13"/>
        <v>#NAME?</v>
      </c>
      <c r="E52" s="12">
        <f>IF(E$2,IF(BD!B52="-",0,BD!B52+0),0)</f>
        <v>0</v>
      </c>
      <c r="F52" s="12">
        <f>IF(F$148,IF(OR(BD!C52=0,BD!C52="-"),E52,BD!C52),"")</f>
        <v>0</v>
      </c>
      <c r="G52" s="12">
        <f>IF(G$148,IF(OR(BD!D52=0,BD!D52="-"),F52,BD!D52),"")</f>
        <v>0</v>
      </c>
      <c r="H52" s="12">
        <f>IF(H$148,IF(OR(BD!E52=0,BD!E52="-"),G52,BD!E52),"")</f>
        <v>0</v>
      </c>
      <c r="I52" s="12">
        <f>IF(I$148,IF(OR(BD!F52=0,BD!F52="-"),H52,BD!F52),"")</f>
        <v>0</v>
      </c>
      <c r="J52" s="12">
        <f>IF(J$148,IF(OR(BD!G52=0,BD!G52="-"),I52,BD!G52),"")</f>
        <v>0</v>
      </c>
      <c r="K52" s="12">
        <f>IF(K$148,IF(OR(BD!H52=0,BD!H52="-"),J52,BD!H52),"")</f>
        <v>0</v>
      </c>
      <c r="L52" s="12">
        <f>IF(L$148,IF(OR(BD!I52=0,BD!I52="-"),K52,BD!I52),"")</f>
        <v>0</v>
      </c>
      <c r="M52" s="12">
        <f>IF(M$148,IF(OR(BD!J52=0,BD!J52="-"),L52,BD!J52),"")</f>
        <v>0</v>
      </c>
      <c r="N52" s="12">
        <f>IF(N$148,IF(OR(BD!K52=0,BD!K52="-"),M52,BD!K52),"")</f>
        <v>0</v>
      </c>
      <c r="O52" s="12">
        <f>IF(O$148,IF(OR(BD!L52=0,BD!L52="-"),N52,BD!L52),"")</f>
        <v>0</v>
      </c>
      <c r="P52" s="12">
        <f>IF(P$148,IF(OR(BD!M52=0,BD!M52="-"),O52,BD!M52),"")</f>
        <v>0</v>
      </c>
      <c r="Q52" s="12">
        <f>IF(Q$148,IF(OR(BD!N52=0,BD!N52="-"),P52,BD!N52),"")</f>
        <v>0</v>
      </c>
      <c r="R52" s="12">
        <f>IF(R$148,IF(OR(BD!O52=0,BD!O52="-"),Q52,BD!O52),"")</f>
        <v>0</v>
      </c>
      <c r="S52" s="12">
        <f>IF(S$148,IF(OR(BD!P52=0,BD!P52="-"),R52,BD!P52),"")</f>
        <v>0</v>
      </c>
    </row>
    <row r="53" spans="1:19">
      <c r="A53" s="34" t="str">
        <f>BD!A53</f>
        <v>Reto Femoral(mm) - p3</v>
      </c>
      <c r="B53" s="155" t="e">
        <f t="shared" ca="1" si="11"/>
        <v>#NAME?</v>
      </c>
      <c r="C53" s="150">
        <f t="shared" ca="1" si="12"/>
        <v>0</v>
      </c>
      <c r="D53" s="156" t="e">
        <f t="shared" ca="1" si="13"/>
        <v>#NAME?</v>
      </c>
      <c r="E53" s="12">
        <f>IF(E$2,IF(BD!B53="-",0,BD!B53+0),0)</f>
        <v>0</v>
      </c>
      <c r="F53" s="12">
        <f>IF(F$148,IF(OR(BD!C53=0,BD!C53="-"),E53,BD!C53),"")</f>
        <v>0</v>
      </c>
      <c r="G53" s="12">
        <f>IF(G$148,IF(OR(BD!D53=0,BD!D53="-"),F53,BD!D53),"")</f>
        <v>0</v>
      </c>
      <c r="H53" s="12">
        <f>IF(H$148,IF(OR(BD!E53=0,BD!E53="-"),G53,BD!E53),"")</f>
        <v>0</v>
      </c>
      <c r="I53" s="12">
        <f>IF(I$148,IF(OR(BD!F53=0,BD!F53="-"),H53,BD!F53),"")</f>
        <v>0</v>
      </c>
      <c r="J53" s="12">
        <f>IF(J$148,IF(OR(BD!G53=0,BD!G53="-"),I53,BD!G53),"")</f>
        <v>0</v>
      </c>
      <c r="K53" s="12">
        <f>IF(K$148,IF(OR(BD!H53=0,BD!H53="-"),J53,BD!H53),"")</f>
        <v>0</v>
      </c>
      <c r="L53" s="12">
        <f>IF(L$148,IF(OR(BD!I53=0,BD!I53="-"),K53,BD!I53),"")</f>
        <v>0</v>
      </c>
      <c r="M53" s="12">
        <f>IF(M$148,IF(OR(BD!J53=0,BD!J53="-"),L53,BD!J53),"")</f>
        <v>0</v>
      </c>
      <c r="N53" s="12">
        <f>IF(N$148,IF(OR(BD!K53=0,BD!K53="-"),M53,BD!K53),"")</f>
        <v>0</v>
      </c>
      <c r="O53" s="12">
        <f>IF(O$148,IF(OR(BD!L53=0,BD!L53="-"),N53,BD!L53),"")</f>
        <v>0</v>
      </c>
      <c r="P53" s="12">
        <f>IF(P$148,IF(OR(BD!M53=0,BD!M53="-"),O53,BD!M53),"")</f>
        <v>0</v>
      </c>
      <c r="Q53" s="12">
        <f>IF(Q$148,IF(OR(BD!N53=0,BD!N53="-"),P53,BD!N53),"")</f>
        <v>0</v>
      </c>
      <c r="R53" s="12">
        <f>IF(R$148,IF(OR(BD!O53=0,BD!O53="-"),Q53,BD!O53),"")</f>
        <v>0</v>
      </c>
      <c r="S53" s="12">
        <f>IF(S$148,IF(OR(BD!P53=0,BD!P53="-"),R53,BD!P53),"")</f>
        <v>0</v>
      </c>
    </row>
    <row r="54" spans="1:19">
      <c r="A54" s="34" t="str">
        <f>BD!A54</f>
        <v>Músculo Reto Femoral (mm)</v>
      </c>
      <c r="B54" s="155" t="e">
        <f t="shared" ca="1" si="11"/>
        <v>#NAME?</v>
      </c>
      <c r="C54" s="155">
        <f t="shared" ca="1" si="12"/>
        <v>30.6</v>
      </c>
      <c r="D54" s="156" t="e">
        <f t="shared" ca="1" si="13"/>
        <v>#NAME?</v>
      </c>
      <c r="E54" s="147">
        <f>IF(E$2,IF(BD!B54="-",0,BD!B54+0),0)</f>
        <v>25.5</v>
      </c>
      <c r="F54" s="147">
        <f>IF(F$148,IF(OR(BD!C54=0,BD!C54="-"),E54,BD!C54),"")</f>
        <v>25.5</v>
      </c>
      <c r="G54" s="147">
        <f>IF(G$148,IF(OR(BD!D54=0,BD!D54="-"),F54,BD!D54),"")</f>
        <v>21.4</v>
      </c>
      <c r="H54" s="147">
        <f>IF(H$148,IF(OR(BD!E54=0,BD!E54="-"),G54,BD!E54),"")</f>
        <v>23.5</v>
      </c>
      <c r="I54" s="147">
        <f>IF(I$148,IF(OR(BD!F54=0,BD!F54="-"),H54,BD!F54),"")</f>
        <v>27.3</v>
      </c>
      <c r="J54" s="147">
        <f>IF(J$148,IF(OR(BD!G54=0,BD!G54="-"),I54,BD!G54),"")</f>
        <v>27.3</v>
      </c>
      <c r="K54" s="147">
        <f>IF(K$148,IF(OR(BD!H54=0,BD!H54="-"),J54,BD!H54),"")</f>
        <v>21.6</v>
      </c>
      <c r="L54" s="147">
        <f>IF(L$148,IF(OR(BD!I54=0,BD!I54="-"),K54,BD!I54),"")</f>
        <v>29.6</v>
      </c>
      <c r="M54" s="147">
        <f>IF(M$148,IF(OR(BD!J54=0,BD!J54="-"),L54,BD!J54),"")</f>
        <v>29.6</v>
      </c>
      <c r="N54" s="147">
        <f>IF(N$148,IF(OR(BD!K54=0,BD!K54="-"),M54,BD!K54),"")</f>
        <v>30.6</v>
      </c>
      <c r="O54" s="147">
        <f>IF(O$148,IF(OR(BD!L54=0,BD!L54="-"),N54,BD!L54),"")</f>
        <v>30.6</v>
      </c>
      <c r="P54" s="147">
        <f>IF(P$148,IF(OR(BD!M54=0,BD!M54="-"),O54,BD!M54),"")</f>
        <v>30.6</v>
      </c>
      <c r="Q54" s="12">
        <f>IF(Q$148,IF(OR(BD!N54=0,BD!N54="-"),P54,BD!N54),"")</f>
        <v>30.6</v>
      </c>
      <c r="R54" s="12">
        <f>IF(R$148,IF(OR(BD!O54=0,BD!O54="-"),Q54,BD!O54),"")</f>
        <v>30.6</v>
      </c>
      <c r="S54" s="12">
        <f>IF(S$148,IF(OR(BD!P54=0,BD!P54="-"),R54,BD!P54),"")</f>
        <v>30.6</v>
      </c>
    </row>
    <row r="55" spans="1:19">
      <c r="A55" s="34" t="str">
        <f>BD!A55</f>
        <v>Vasto Intermédio(mm) - p1</v>
      </c>
      <c r="B55" s="155" t="e">
        <f t="shared" ca="1" si="11"/>
        <v>#NAME?</v>
      </c>
      <c r="C55" s="155">
        <f t="shared" ca="1" si="12"/>
        <v>24.7</v>
      </c>
      <c r="D55" s="156" t="e">
        <f t="shared" ca="1" si="13"/>
        <v>#NAME?</v>
      </c>
      <c r="E55" s="147">
        <f>IF(E$2,IF(BD!B55="-",0,BD!B55+0),0)</f>
        <v>23.8</v>
      </c>
      <c r="F55" s="147">
        <f>IF(F$148,IF(OR(BD!C55=0,BD!C55="-"),E55,BD!C55),"")</f>
        <v>23.7</v>
      </c>
      <c r="G55" s="147">
        <f>IF(G$148,IF(OR(BD!D55=0,BD!D55="-"),F55,BD!D55),"")</f>
        <v>18.899999999999999</v>
      </c>
      <c r="H55" s="147">
        <f>IF(H$148,IF(OR(BD!E55=0,BD!E55="-"),G55,BD!E55),"")</f>
        <v>18.899999999999999</v>
      </c>
      <c r="I55" s="147">
        <f>IF(I$148,IF(OR(BD!F55=0,BD!F55="-"),H55,BD!F55),"")</f>
        <v>18.5</v>
      </c>
      <c r="J55" s="147">
        <f>IF(J$148,IF(OR(BD!G55=0,BD!G55="-"),I55,BD!G55),"")</f>
        <v>18.5</v>
      </c>
      <c r="K55" s="147">
        <f>IF(K$148,IF(OR(BD!H55=0,BD!H55="-"),J55,BD!H55),"")</f>
        <v>19.899999999999999</v>
      </c>
      <c r="L55" s="147">
        <f>IF(L$148,IF(OR(BD!I55=0,BD!I55="-"),K55,BD!I55),"")</f>
        <v>20.3</v>
      </c>
      <c r="M55" s="147">
        <f>IF(M$148,IF(OR(BD!J55=0,BD!J55="-"),L55,BD!J55),"")</f>
        <v>20.3</v>
      </c>
      <c r="N55" s="147">
        <f>IF(N$148,IF(OR(BD!K55=0,BD!K55="-"),M55,BD!K55),"")</f>
        <v>24.7</v>
      </c>
      <c r="O55" s="147">
        <f>IF(O$148,IF(OR(BD!L55=0,BD!L55="-"),N55,BD!L55),"")</f>
        <v>24.7</v>
      </c>
      <c r="P55" s="147">
        <f>IF(P$148,IF(OR(BD!M55=0,BD!M55="-"),O55,BD!M55),"")</f>
        <v>24.7</v>
      </c>
      <c r="Q55" s="12">
        <f>IF(Q$148,IF(OR(BD!N55=0,BD!N55="-"),P55,BD!N55),"")</f>
        <v>24.7</v>
      </c>
      <c r="R55" s="12">
        <f>IF(R$148,IF(OR(BD!O55=0,BD!O55="-"),Q55,BD!O55),"")</f>
        <v>24.7</v>
      </c>
      <c r="S55" s="12">
        <f>IF(S$148,IF(OR(BD!P55=0,BD!P55="-"),R55,BD!P55),"")</f>
        <v>24.7</v>
      </c>
    </row>
    <row r="56" spans="1:19">
      <c r="A56" s="34" t="str">
        <f>BD!A56</f>
        <v>Vasto Intermédio(mm) - p2</v>
      </c>
      <c r="B56" s="155" t="e">
        <f t="shared" ca="1" si="11"/>
        <v>#NAME?</v>
      </c>
      <c r="C56" s="150">
        <f t="shared" ca="1" si="12"/>
        <v>0</v>
      </c>
      <c r="D56" s="156" t="e">
        <f t="shared" ca="1" si="13"/>
        <v>#NAME?</v>
      </c>
      <c r="E56" s="12">
        <f>IF(E$2,IF(BD!B56="-",0,BD!B56+0),0)</f>
        <v>0</v>
      </c>
      <c r="F56" s="12">
        <f>IF(F$148,IF(OR(BD!C56=0,BD!C56="-"),E56,BD!C56),"")</f>
        <v>0</v>
      </c>
      <c r="G56" s="12">
        <f>IF(G$148,IF(OR(BD!D56=0,BD!D56="-"),F56,BD!D56),"")</f>
        <v>0</v>
      </c>
      <c r="H56" s="12">
        <f>IF(H$148,IF(OR(BD!E56=0,BD!E56="-"),G56,BD!E56),"")</f>
        <v>0</v>
      </c>
      <c r="I56" s="12">
        <f>IF(I$148,IF(OR(BD!F56=0,BD!F56="-"),H56,BD!F56),"")</f>
        <v>0</v>
      </c>
      <c r="J56" s="12">
        <f>IF(J$148,IF(OR(BD!G56=0,BD!G56="-"),I56,BD!G56),"")</f>
        <v>0</v>
      </c>
      <c r="K56" s="12">
        <f>IF(K$148,IF(OR(BD!H56=0,BD!H56="-"),J56,BD!H56),"")</f>
        <v>0</v>
      </c>
      <c r="L56" s="12">
        <f>IF(L$148,IF(OR(BD!I56=0,BD!I56="-"),K56,BD!I56),"")</f>
        <v>0</v>
      </c>
      <c r="M56" s="12">
        <f>IF(M$148,IF(OR(BD!J56=0,BD!J56="-"),L56,BD!J56),"")</f>
        <v>0</v>
      </c>
      <c r="N56" s="12">
        <f>IF(N$148,IF(OR(BD!K56=0,BD!K56="-"),M56,BD!K56),"")</f>
        <v>0</v>
      </c>
      <c r="O56" s="12">
        <f>IF(O$148,IF(OR(BD!L56=0,BD!L56="-"),N56,BD!L56),"")</f>
        <v>0</v>
      </c>
      <c r="P56" s="12">
        <f>IF(P$148,IF(OR(BD!M56=0,BD!M56="-"),O56,BD!M56),"")</f>
        <v>0</v>
      </c>
      <c r="Q56" s="12">
        <f>IF(Q$148,IF(OR(BD!N56=0,BD!N56="-"),P56,BD!N56),"")</f>
        <v>0</v>
      </c>
      <c r="R56" s="12">
        <f>IF(R$148,IF(OR(BD!O56=0,BD!O56="-"),Q56,BD!O56),"")</f>
        <v>0</v>
      </c>
      <c r="S56" s="12">
        <f>IF(S$148,IF(OR(BD!P56=0,BD!P56="-"),R56,BD!P56),"")</f>
        <v>0</v>
      </c>
    </row>
    <row r="57" spans="1:19">
      <c r="A57" s="34" t="str">
        <f>BD!A57</f>
        <v>Vasto Intermédio(mm) - p3</v>
      </c>
      <c r="B57" s="155" t="e">
        <f t="shared" ca="1" si="11"/>
        <v>#NAME?</v>
      </c>
      <c r="C57" s="150">
        <f t="shared" ca="1" si="12"/>
        <v>0</v>
      </c>
      <c r="D57" s="156" t="e">
        <f t="shared" ca="1" si="13"/>
        <v>#NAME?</v>
      </c>
      <c r="E57" s="12">
        <f>IF(E$2,IF(BD!B57="-",0,BD!B57+0),0)</f>
        <v>0</v>
      </c>
      <c r="F57" s="12">
        <f>IF(F$148,IF(OR(BD!C57=0,BD!C57="-"),E57,BD!C57),"")</f>
        <v>0</v>
      </c>
      <c r="G57" s="12">
        <f>IF(G$148,IF(OR(BD!D57=0,BD!D57="-"),F57,BD!D57),"")</f>
        <v>0</v>
      </c>
      <c r="H57" s="12">
        <f>IF(H$148,IF(OR(BD!E57=0,BD!E57="-"),G57,BD!E57),"")</f>
        <v>0</v>
      </c>
      <c r="I57" s="12">
        <f>IF(I$148,IF(OR(BD!F57=0,BD!F57="-"),H57,BD!F57),"")</f>
        <v>0</v>
      </c>
      <c r="J57" s="12">
        <f>IF(J$148,IF(OR(BD!G57=0,BD!G57="-"),I57,BD!G57),"")</f>
        <v>0</v>
      </c>
      <c r="K57" s="12">
        <f>IF(K$148,IF(OR(BD!H57=0,BD!H57="-"),J57,BD!H57),"")</f>
        <v>0</v>
      </c>
      <c r="L57" s="12">
        <f>IF(L$148,IF(OR(BD!I57=0,BD!I57="-"),K57,BD!I57),"")</f>
        <v>0</v>
      </c>
      <c r="M57" s="12">
        <f>IF(M$148,IF(OR(BD!J57=0,BD!J57="-"),L57,BD!J57),"")</f>
        <v>0</v>
      </c>
      <c r="N57" s="12">
        <f>IF(N$148,IF(OR(BD!K57=0,BD!K57="-"),M57,BD!K57),"")</f>
        <v>0</v>
      </c>
      <c r="O57" s="12">
        <f>IF(O$148,IF(OR(BD!L57=0,BD!L57="-"),N57,BD!L57),"")</f>
        <v>0</v>
      </c>
      <c r="P57" s="12">
        <f>IF(P$148,IF(OR(BD!M57=0,BD!M57="-"),O57,BD!M57),"")</f>
        <v>0</v>
      </c>
      <c r="Q57" s="12">
        <f>IF(Q$148,IF(OR(BD!N57=0,BD!N57="-"),P57,BD!N57),"")</f>
        <v>0</v>
      </c>
      <c r="R57" s="12">
        <f>IF(R$148,IF(OR(BD!O57=0,BD!O57="-"),Q57,BD!O57),"")</f>
        <v>0</v>
      </c>
      <c r="S57" s="12">
        <f>IF(S$148,IF(OR(BD!P57=0,BD!P57="-"),R57,BD!P57),"")</f>
        <v>0</v>
      </c>
    </row>
    <row r="58" spans="1:19">
      <c r="A58" s="34" t="str">
        <f>BD!A58</f>
        <v>Músculo Vasto Intermédio (mm)</v>
      </c>
      <c r="B58" s="155" t="e">
        <f t="shared" ca="1" si="11"/>
        <v>#NAME?</v>
      </c>
      <c r="C58" s="155">
        <f t="shared" ca="1" si="12"/>
        <v>24.7</v>
      </c>
      <c r="D58" s="156" t="e">
        <f t="shared" ca="1" si="13"/>
        <v>#NAME?</v>
      </c>
      <c r="E58" s="147">
        <f>IF(E$2,IF(BD!B58="-",0,BD!B58+0),0)</f>
        <v>23.8</v>
      </c>
      <c r="F58" s="147">
        <f>IF(F$148,IF(OR(BD!C58=0,BD!C58="-"),E58,BD!C58),"")</f>
        <v>23.7</v>
      </c>
      <c r="G58" s="147">
        <f>IF(G$148,IF(OR(BD!D58=0,BD!D58="-"),F58,BD!D58),"")</f>
        <v>18.899999999999999</v>
      </c>
      <c r="H58" s="147">
        <f>IF(H$148,IF(OR(BD!E58=0,BD!E58="-"),G58,BD!E58),"")</f>
        <v>18.899999999999999</v>
      </c>
      <c r="I58" s="147">
        <f>IF(I$148,IF(OR(BD!F58=0,BD!F58="-"),H58,BD!F58),"")</f>
        <v>18.5</v>
      </c>
      <c r="J58" s="147">
        <f>IF(J$148,IF(OR(BD!G58=0,BD!G58="-"),I58,BD!G58),"")</f>
        <v>18.5</v>
      </c>
      <c r="K58" s="147">
        <f>IF(K$148,IF(OR(BD!H58=0,BD!H58="-"),J58,BD!H58),"")</f>
        <v>19.899999999999999</v>
      </c>
      <c r="L58" s="147">
        <f>IF(L$148,IF(OR(BD!I58=0,BD!I58="-"),K58,BD!I58),"")</f>
        <v>20.3</v>
      </c>
      <c r="M58" s="147">
        <f>IF(M$148,IF(OR(BD!J58=0,BD!J58="-"),L58,BD!J58),"")</f>
        <v>20.3</v>
      </c>
      <c r="N58" s="147">
        <f>IF(N$148,IF(OR(BD!K58=0,BD!K58="-"),M58,BD!K58),"")</f>
        <v>24.7</v>
      </c>
      <c r="O58" s="147">
        <f>IF(O$148,IF(OR(BD!L58=0,BD!L58="-"),N58,BD!L58),"")</f>
        <v>24.7</v>
      </c>
      <c r="P58" s="147">
        <f>IF(P$148,IF(OR(BD!M58=0,BD!M58="-"),O58,BD!M58),"")</f>
        <v>24.7</v>
      </c>
      <c r="Q58" s="12">
        <f>IF(Q$148,IF(OR(BD!N58=0,BD!N58="-"),P58,BD!N58),"")</f>
        <v>24.7</v>
      </c>
      <c r="R58" s="12">
        <f>IF(R$148,IF(OR(BD!O58=0,BD!O58="-"),Q58,BD!O58),"")</f>
        <v>24.7</v>
      </c>
      <c r="S58" s="12">
        <f>IF(S$148,IF(OR(BD!P58=0,BD!P58="-"),R58,BD!P58),"")</f>
        <v>24.7</v>
      </c>
    </row>
    <row r="59" spans="1:19">
      <c r="A59" s="34" t="str">
        <f>BD!A59</f>
        <v>Músculos Anteriores da Coxa(mm)</v>
      </c>
      <c r="B59" s="155" t="e">
        <f t="shared" ca="1" si="11"/>
        <v>#NAME?</v>
      </c>
      <c r="C59" s="155" t="e">
        <f t="shared" ca="1" si="12"/>
        <v>#VALUE!</v>
      </c>
      <c r="D59" s="156" t="e">
        <f t="shared" ca="1" si="13"/>
        <v>#NAME?</v>
      </c>
      <c r="E59" s="147">
        <f>IF(E$2,IF(BD!B59="-",0,BD!B59+0),0)</f>
        <v>49.3</v>
      </c>
      <c r="F59" s="147">
        <f>IF(F$148,IF(OR(BD!C59=0,BD!C59="-"),E59,BD!C59),"")</f>
        <v>49.2</v>
      </c>
      <c r="G59" s="147">
        <f>IF(G$148,IF(OR(BD!D59=0,BD!D59="-"),F59,BD!D59),"")</f>
        <v>40.299999999999997</v>
      </c>
      <c r="H59" s="147">
        <f>IF(H$148,IF(OR(BD!E59=0,BD!E59="-"),G59,BD!E59),"")</f>
        <v>42.4</v>
      </c>
      <c r="I59" s="147">
        <f>IF(I$148,IF(OR(BD!F59=0,BD!F59="-"),H59,BD!F59),"")</f>
        <v>45.8</v>
      </c>
      <c r="J59" s="147" t="e">
        <f>IF(J$148,IF(OR(BD!G59=0,BD!G59="-"),I59,BD!G59),"")</f>
        <v>#VALUE!</v>
      </c>
      <c r="K59" s="147">
        <f>IF(K$148,IF(OR(BD!H59=0,BD!H59="-"),J59,BD!H59),"")</f>
        <v>41.5</v>
      </c>
      <c r="L59" s="147">
        <f>IF(L$148,IF(OR(BD!I59=0,BD!I59="-"),K59,BD!I59),"")</f>
        <v>49.900000000000006</v>
      </c>
      <c r="M59" s="147" t="e">
        <f>IF(M$148,IF(OR(BD!J59=0,BD!J59="-"),L59,BD!J59),"")</f>
        <v>#VALUE!</v>
      </c>
      <c r="N59" s="147">
        <f>IF(N$148,IF(OR(BD!K59=0,BD!K59="-"),M59,BD!K59),"")</f>
        <v>55.3</v>
      </c>
      <c r="O59" s="147" t="e">
        <f>IF(O$148,IF(OR(BD!L59=0,BD!L59="-"),N59,BD!L59),"")</f>
        <v>#VALUE!</v>
      </c>
      <c r="P59" s="147" t="e">
        <f>IF(P$148,IF(OR(BD!M59=0,BD!M59="-"),O59,BD!M59),"")</f>
        <v>#VALUE!</v>
      </c>
      <c r="Q59" s="12" t="e">
        <f>IF(Q$148,IF(OR(BD!N59=0,BD!N59="-"),P59,BD!N59),"")</f>
        <v>#VALUE!</v>
      </c>
      <c r="R59" s="12" t="e">
        <f>IF(R$148,IF(OR(BD!O59=0,BD!O59="-"),Q59,BD!O59),"")</f>
        <v>#VALUE!</v>
      </c>
      <c r="S59" s="12" t="e">
        <f>IF(S$148,IF(OR(BD!P59=0,BD!P59="-"),R59,BD!P59),"")</f>
        <v>#VALUE!</v>
      </c>
    </row>
    <row r="60" spans="1:19">
      <c r="B60" s="157"/>
      <c r="C60" s="150"/>
      <c r="D60" s="156"/>
      <c r="E60" s="12"/>
      <c r="F60" s="12"/>
      <c r="G60" s="12"/>
      <c r="H60" s="12"/>
      <c r="I60" s="12"/>
      <c r="J60" s="12"/>
      <c r="K60" s="12"/>
      <c r="L60" s="12"/>
      <c r="M60" s="12"/>
      <c r="N60" s="12"/>
      <c r="O60" s="12"/>
      <c r="P60" s="12"/>
      <c r="Q60" s="12"/>
      <c r="R60" s="12"/>
      <c r="S60" s="12"/>
    </row>
    <row r="61" spans="1:19">
      <c r="A61" s="34" t="str">
        <f>BD!A61</f>
        <v>G. Abd. S. Sup. (mm) - p1</v>
      </c>
      <c r="B61" s="155" t="e">
        <f t="shared" ref="B61:B99" ca="1" si="14">_xludf.IFS($E61+0&gt;0,$E61,$F61+0&gt;0,$F61,$G61+0&gt;0,$G61,$H61+0&gt;0,$H61,$I61+0&gt;0,$I61,$J61+0&gt;0,$J61,$K61+0&gt;0,$K61,$L61+0&gt;0,$L61,$M61+0&gt;0,$M61,$N61+0&gt;0,$N61,$O61+0&gt;0,$O61,$P61+0&gt;0,$P61,$Q61+0&gt;0,$Q61,$R61+0&gt;0,$R61,$S61+0&gt;0,$S61,TRUE(),"-")</f>
        <v>#NAME?</v>
      </c>
      <c r="C61" s="155">
        <f t="shared" ref="C61:C99" ca="1" si="15">OFFSET(D61,0,$A$147)</f>
        <v>4</v>
      </c>
      <c r="D61" s="156" t="e">
        <f t="shared" ref="D61:D99" ca="1" si="16">IF(OR(B61=0,B61="-"),"-",((C61-B61)/B61)*100)</f>
        <v>#NAME?</v>
      </c>
      <c r="E61" s="147">
        <f>IF(E$2,IF(BD!B61="-",0,BD!B61+0),0)</f>
        <v>18.899999999999999</v>
      </c>
      <c r="F61" s="147">
        <f>IF(F$148,IF(OR(BD!C61=0,BD!C61="-"),E61,BD!C61),"")</f>
        <v>7.5</v>
      </c>
      <c r="G61" s="147">
        <f>IF(G$148,IF(OR(BD!D61=0,BD!D61="-"),F61,BD!D61),"")</f>
        <v>4.3</v>
      </c>
      <c r="H61" s="147">
        <f>IF(H$148,IF(OR(BD!E61=0,BD!E61="-"),G61,BD!E61),"")</f>
        <v>6.2</v>
      </c>
      <c r="I61" s="147">
        <f>IF(I$148,IF(OR(BD!F61=0,BD!F61="-"),H61,BD!F61),"")</f>
        <v>6.4</v>
      </c>
      <c r="J61" s="147">
        <f>IF(J$148,IF(OR(BD!G61=0,BD!G61="-"),I61,BD!G61),"")</f>
        <v>6.4</v>
      </c>
      <c r="K61" s="147">
        <f>IF(K$148,IF(OR(BD!H61=0,BD!H61="-"),J61,BD!H61),"")</f>
        <v>5.7</v>
      </c>
      <c r="L61" s="147">
        <f>IF(L$148,IF(OR(BD!I61=0,BD!I61="-"),K61,BD!I61),"")</f>
        <v>5</v>
      </c>
      <c r="M61" s="147">
        <f>IF(M$148,IF(OR(BD!J61=0,BD!J61="-"),L61,BD!J61),"")</f>
        <v>5</v>
      </c>
      <c r="N61" s="147">
        <f>IF(N$148,IF(OR(BD!K61=0,BD!K61="-"),M61,BD!K61),"")</f>
        <v>4</v>
      </c>
      <c r="O61" s="147">
        <f>IF(O$148,IF(OR(BD!L61=0,BD!L61="-"),N61,BD!L61),"")</f>
        <v>4</v>
      </c>
      <c r="P61" s="147">
        <f>IF(P$148,IF(OR(BD!M61=0,BD!M61="-"),O61,BD!M61),"")</f>
        <v>4</v>
      </c>
      <c r="Q61" s="12">
        <f>IF(Q$148,IF(OR(BD!N61=0,BD!N61="-"),P61,BD!N61),"")</f>
        <v>4</v>
      </c>
      <c r="R61" s="12">
        <f>IF(R$148,IF(OR(BD!O61=0,BD!O61="-"),Q61,BD!O61),"")</f>
        <v>4</v>
      </c>
      <c r="S61" s="12">
        <f>IF(S$148,IF(OR(BD!P61=0,BD!P61="-"),R61,BD!P61),"")</f>
        <v>4</v>
      </c>
    </row>
    <row r="62" spans="1:19">
      <c r="A62" s="34" t="str">
        <f>BD!A62</f>
        <v>G. Abd. S. Sup. (mm) - p2</v>
      </c>
      <c r="B62" s="155" t="e">
        <f t="shared" ca="1" si="14"/>
        <v>#NAME?</v>
      </c>
      <c r="C62" s="150">
        <f t="shared" ca="1" si="15"/>
        <v>0</v>
      </c>
      <c r="D62" s="156" t="e">
        <f t="shared" ca="1" si="16"/>
        <v>#NAME?</v>
      </c>
      <c r="E62" s="12">
        <f>IF(E$2,IF(BD!B62="-",0,BD!B62+0),0)</f>
        <v>0</v>
      </c>
      <c r="F62" s="12">
        <f>IF(F$148,IF(OR(BD!C62=0,BD!C62="-"),E62,BD!C62),"")</f>
        <v>0</v>
      </c>
      <c r="G62" s="12">
        <f>IF(G$148,IF(OR(BD!D62=0,BD!D62="-"),F62,BD!D62),"")</f>
        <v>0</v>
      </c>
      <c r="H62" s="12">
        <f>IF(H$148,IF(OR(BD!E62=0,BD!E62="-"),G62,BD!E62),"")</f>
        <v>0</v>
      </c>
      <c r="I62" s="12">
        <f>IF(I$148,IF(OR(BD!F62=0,BD!F62="-"),H62,BD!F62),"")</f>
        <v>0</v>
      </c>
      <c r="J62" s="12">
        <f>IF(J$148,IF(OR(BD!G62=0,BD!G62="-"),I62,BD!G62),"")</f>
        <v>0</v>
      </c>
      <c r="K62" s="12">
        <f>IF(K$148,IF(OR(BD!H62=0,BD!H62="-"),J62,BD!H62),"")</f>
        <v>0</v>
      </c>
      <c r="L62" s="12">
        <f>IF(L$148,IF(OR(BD!I62=0,BD!I62="-"),K62,BD!I62),"")</f>
        <v>0</v>
      </c>
      <c r="M62" s="12">
        <f>IF(M$148,IF(OR(BD!J62=0,BD!J62="-"),L62,BD!J62),"")</f>
        <v>0</v>
      </c>
      <c r="N62" s="12">
        <f>IF(N$148,IF(OR(BD!K62=0,BD!K62="-"),M62,BD!K62),"")</f>
        <v>0</v>
      </c>
      <c r="O62" s="12">
        <f>IF(O$148,IF(OR(BD!L62=0,BD!L62="-"),N62,BD!L62),"")</f>
        <v>0</v>
      </c>
      <c r="P62" s="12">
        <f>IF(P$148,IF(OR(BD!M62=0,BD!M62="-"),O62,BD!M62),"")</f>
        <v>0</v>
      </c>
      <c r="Q62" s="12">
        <f>IF(Q$148,IF(OR(BD!N62=0,BD!N62="-"),P62,BD!N62),"")</f>
        <v>0</v>
      </c>
      <c r="R62" s="12">
        <f>IF(R$148,IF(OR(BD!O62=0,BD!O62="-"),Q62,BD!O62),"")</f>
        <v>0</v>
      </c>
      <c r="S62" s="12">
        <f>IF(S$148,IF(OR(BD!P62=0,BD!P62="-"),R62,BD!P62),"")</f>
        <v>0</v>
      </c>
    </row>
    <row r="63" spans="1:19">
      <c r="A63" s="34" t="str">
        <f>BD!A63</f>
        <v>G. Abd. S. Sup. (mm) - p3</v>
      </c>
      <c r="B63" s="155" t="e">
        <f t="shared" ca="1" si="14"/>
        <v>#NAME?</v>
      </c>
      <c r="C63" s="150">
        <f t="shared" ca="1" si="15"/>
        <v>0</v>
      </c>
      <c r="D63" s="156" t="e">
        <f t="shared" ca="1" si="16"/>
        <v>#NAME?</v>
      </c>
      <c r="E63" s="12">
        <f>IF(E$2,IF(BD!B63="-",0,BD!B63+0),0)</f>
        <v>0</v>
      </c>
      <c r="F63" s="12">
        <f>IF(F$148,IF(OR(BD!C63=0,BD!C63="-"),E63,BD!C63),"")</f>
        <v>0</v>
      </c>
      <c r="G63" s="12">
        <f>IF(G$148,IF(OR(BD!D63=0,BD!D63="-"),F63,BD!D63),"")</f>
        <v>0</v>
      </c>
      <c r="H63" s="12">
        <f>IF(H$148,IF(OR(BD!E63=0,BD!E63="-"),G63,BD!E63),"")</f>
        <v>0</v>
      </c>
      <c r="I63" s="12">
        <f>IF(I$148,IF(OR(BD!F63=0,BD!F63="-"),H63,BD!F63),"")</f>
        <v>0</v>
      </c>
      <c r="J63" s="12">
        <f>IF(J$148,IF(OR(BD!G63=0,BD!G63="-"),I63,BD!G63),"")</f>
        <v>0</v>
      </c>
      <c r="K63" s="12">
        <f>IF(K$148,IF(OR(BD!H63=0,BD!H63="-"),J63,BD!H63),"")</f>
        <v>0</v>
      </c>
      <c r="L63" s="12">
        <f>IF(L$148,IF(OR(BD!I63=0,BD!I63="-"),K63,BD!I63),"")</f>
        <v>0</v>
      </c>
      <c r="M63" s="12">
        <f>IF(M$148,IF(OR(BD!J63=0,BD!J63="-"),L63,BD!J63),"")</f>
        <v>0</v>
      </c>
      <c r="N63" s="12">
        <f>IF(N$148,IF(OR(BD!K63=0,BD!K63="-"),M63,BD!K63),"")</f>
        <v>0</v>
      </c>
      <c r="O63" s="12">
        <f>IF(O$148,IF(OR(BD!L63=0,BD!L63="-"),N63,BD!L63),"")</f>
        <v>0</v>
      </c>
      <c r="P63" s="12">
        <f>IF(P$148,IF(OR(BD!M63=0,BD!M63="-"),O63,BD!M63),"")</f>
        <v>0</v>
      </c>
      <c r="Q63" s="12">
        <f>IF(Q$148,IF(OR(BD!N63=0,BD!N63="-"),P63,BD!N63),"")</f>
        <v>0</v>
      </c>
      <c r="R63" s="12">
        <f>IF(R$148,IF(OR(BD!O63=0,BD!O63="-"),Q63,BD!O63),"")</f>
        <v>0</v>
      </c>
      <c r="S63" s="12">
        <f>IF(S$148,IF(OR(BD!P63=0,BD!P63="-"),R63,BD!P63),"")</f>
        <v>0</v>
      </c>
    </row>
    <row r="64" spans="1:19">
      <c r="A64" s="34" t="str">
        <f>BD!A64</f>
        <v>Gordura Abdominal Subcutânea Superficial(mm)</v>
      </c>
      <c r="B64" s="155" t="e">
        <f t="shared" ca="1" si="14"/>
        <v>#NAME?</v>
      </c>
      <c r="C64" s="155">
        <f t="shared" ca="1" si="15"/>
        <v>4</v>
      </c>
      <c r="D64" s="156" t="e">
        <f t="shared" ca="1" si="16"/>
        <v>#NAME?</v>
      </c>
      <c r="E64" s="147">
        <f>IF(E$2,IF(BD!B64="-",0,BD!B64+0),0)</f>
        <v>18.899999999999999</v>
      </c>
      <c r="F64" s="147">
        <f>IF(F$148,IF(OR(BD!C64=0,BD!C64="-"),E64,BD!C64),"")</f>
        <v>7.5</v>
      </c>
      <c r="G64" s="147">
        <f>IF(G$148,IF(OR(BD!D64=0,BD!D64="-"),F64,BD!D64),"")</f>
        <v>4.3</v>
      </c>
      <c r="H64" s="147">
        <f>IF(H$148,IF(OR(BD!E64=0,BD!E64="-"),G64,BD!E64),"")</f>
        <v>6.2</v>
      </c>
      <c r="I64" s="147">
        <f>IF(I$148,IF(OR(BD!F64=0,BD!F64="-"),H64,BD!F64),"")</f>
        <v>6.4</v>
      </c>
      <c r="J64" s="147">
        <f>IF(J$148,IF(OR(BD!G64=0,BD!G64="-"),I64,BD!G64),"")</f>
        <v>6.4</v>
      </c>
      <c r="K64" s="147">
        <f>IF(K$148,IF(OR(BD!H64=0,BD!H64="-"),J64,BD!H64),"")</f>
        <v>5.7</v>
      </c>
      <c r="L64" s="147">
        <f>IF(L$148,IF(OR(BD!I64=0,BD!I64="-"),K64,BD!I64),"")</f>
        <v>5</v>
      </c>
      <c r="M64" s="147">
        <f>IF(M$148,IF(OR(BD!J64=0,BD!J64="-"),L64,BD!J64),"")</f>
        <v>5</v>
      </c>
      <c r="N64" s="147">
        <f>IF(N$148,IF(OR(BD!K64=0,BD!K64="-"),M64,BD!K64),"")</f>
        <v>4</v>
      </c>
      <c r="O64" s="147">
        <f>IF(O$148,IF(OR(BD!L64=0,BD!L64="-"),N64,BD!L64),"")</f>
        <v>4</v>
      </c>
      <c r="P64" s="147">
        <f>IF(P$148,IF(OR(BD!M64=0,BD!M64="-"),O64,BD!M64),"")</f>
        <v>4</v>
      </c>
      <c r="Q64" s="12">
        <f>IF(Q$148,IF(OR(BD!N64=0,BD!N64="-"),P64,BD!N64),"")</f>
        <v>4</v>
      </c>
      <c r="R64" s="12">
        <f>IF(R$148,IF(OR(BD!O64=0,BD!O64="-"),Q64,BD!O64),"")</f>
        <v>4</v>
      </c>
      <c r="S64" s="12">
        <f>IF(S$148,IF(OR(BD!P64=0,BD!P64="-"),R64,BD!P64),"")</f>
        <v>4</v>
      </c>
    </row>
    <row r="65" spans="1:19">
      <c r="A65" s="34" t="str">
        <f>BD!A65</f>
        <v>G. Abd. S. Prof.(mm) - p1</v>
      </c>
      <c r="B65" s="155" t="e">
        <f t="shared" ca="1" si="14"/>
        <v>#NAME?</v>
      </c>
      <c r="C65" s="155">
        <f t="shared" ca="1" si="15"/>
        <v>4.0999999999999996</v>
      </c>
      <c r="D65" s="156" t="e">
        <f t="shared" ca="1" si="16"/>
        <v>#NAME?</v>
      </c>
      <c r="E65" s="147">
        <f>IF(E$2,IF(BD!B65="-",0,BD!B65+0),0)</f>
        <v>20.6</v>
      </c>
      <c r="F65" s="147">
        <f>IF(F$148,IF(OR(BD!C65=0,BD!C65="-"),E65,BD!C65),"")</f>
        <v>10.8</v>
      </c>
      <c r="G65" s="147">
        <f>IF(G$148,IF(OR(BD!D65=0,BD!D65="-"),F65,BD!D65),"")</f>
        <v>7.4</v>
      </c>
      <c r="H65" s="147">
        <f>IF(H$148,IF(OR(BD!E65=0,BD!E65="-"),G65,BD!E65),"")</f>
        <v>4.2</v>
      </c>
      <c r="I65" s="147">
        <f>IF(I$148,IF(OR(BD!F65=0,BD!F65="-"),H65,BD!F65),"")</f>
        <v>4.0999999999999996</v>
      </c>
      <c r="J65" s="147">
        <f>IF(J$148,IF(OR(BD!G65=0,BD!G65="-"),I65,BD!G65),"")</f>
        <v>4.0999999999999996</v>
      </c>
      <c r="K65" s="147">
        <f>IF(K$148,IF(OR(BD!H65=0,BD!H65="-"),J65,BD!H65),"")</f>
        <v>7.1</v>
      </c>
      <c r="L65" s="147">
        <f>IF(L$148,IF(OR(BD!I65=0,BD!I65="-"),K65,BD!I65),"")</f>
        <v>6.6</v>
      </c>
      <c r="M65" s="147">
        <f>IF(M$148,IF(OR(BD!J65=0,BD!J65="-"),L65,BD!J65),"")</f>
        <v>6.6</v>
      </c>
      <c r="N65" s="147">
        <f>IF(N$148,IF(OR(BD!K65=0,BD!K65="-"),M65,BD!K65),"")</f>
        <v>4.0999999999999996</v>
      </c>
      <c r="O65" s="147">
        <f>IF(O$148,IF(OR(BD!L65=0,BD!L65="-"),N65,BD!L65),"")</f>
        <v>4.0999999999999996</v>
      </c>
      <c r="P65" s="147">
        <f>IF(P$148,IF(OR(BD!M65=0,BD!M65="-"),O65,BD!M65),"")</f>
        <v>4.0999999999999996</v>
      </c>
      <c r="Q65" s="12">
        <f>IF(Q$148,IF(OR(BD!N65=0,BD!N65="-"),P65,BD!N65),"")</f>
        <v>4.0999999999999996</v>
      </c>
      <c r="R65" s="12">
        <f>IF(R$148,IF(OR(BD!O65=0,BD!O65="-"),Q65,BD!O65),"")</f>
        <v>4.0999999999999996</v>
      </c>
      <c r="S65" s="12">
        <f>IF(S$148,IF(OR(BD!P65=0,BD!P65="-"),R65,BD!P65),"")</f>
        <v>4.0999999999999996</v>
      </c>
    </row>
    <row r="66" spans="1:19">
      <c r="A66" s="34" t="str">
        <f>BD!A66</f>
        <v>G. Abd. S. Prof.(mm) - p2</v>
      </c>
      <c r="B66" s="155" t="e">
        <f t="shared" ca="1" si="14"/>
        <v>#NAME?</v>
      </c>
      <c r="C66" s="150">
        <f t="shared" ca="1" si="15"/>
        <v>0</v>
      </c>
      <c r="D66" s="156" t="e">
        <f t="shared" ca="1" si="16"/>
        <v>#NAME?</v>
      </c>
      <c r="E66" s="12">
        <f>IF(E$2,IF(BD!B66="-",0,BD!B66+0),0)</f>
        <v>0</v>
      </c>
      <c r="F66" s="12">
        <f>IF(F$148,IF(OR(BD!C66=0,BD!C66="-"),E66,BD!C66),"")</f>
        <v>0</v>
      </c>
      <c r="G66" s="12">
        <f>IF(G$148,IF(OR(BD!D66=0,BD!D66="-"),F66,BD!D66),"")</f>
        <v>0</v>
      </c>
      <c r="H66" s="12">
        <f>IF(H$148,IF(OR(BD!E66=0,BD!E66="-"),G66,BD!E66),"")</f>
        <v>0</v>
      </c>
      <c r="I66" s="12">
        <f>IF(I$148,IF(OR(BD!F66=0,BD!F66="-"),H66,BD!F66),"")</f>
        <v>0</v>
      </c>
      <c r="J66" s="12">
        <f>IF(J$148,IF(OR(BD!G66=0,BD!G66="-"),I66,BD!G66),"")</f>
        <v>0</v>
      </c>
      <c r="K66" s="12">
        <f>IF(K$148,IF(OR(BD!H66=0,BD!H66="-"),J66,BD!H66),"")</f>
        <v>0</v>
      </c>
      <c r="L66" s="12">
        <f>IF(L$148,IF(OR(BD!I66=0,BD!I66="-"),K66,BD!I66),"")</f>
        <v>0</v>
      </c>
      <c r="M66" s="12">
        <f>IF(M$148,IF(OR(BD!J66=0,BD!J66="-"),L66,BD!J66),"")</f>
        <v>0</v>
      </c>
      <c r="N66" s="12">
        <f>IF(N$148,IF(OR(BD!K66=0,BD!K66="-"),M66,BD!K66),"")</f>
        <v>0</v>
      </c>
      <c r="O66" s="12">
        <f>IF(O$148,IF(OR(BD!L66=0,BD!L66="-"),N66,BD!L66),"")</f>
        <v>0</v>
      </c>
      <c r="P66" s="12">
        <f>IF(P$148,IF(OR(BD!M66=0,BD!M66="-"),O66,BD!M66),"")</f>
        <v>0</v>
      </c>
      <c r="Q66" s="12">
        <f>IF(Q$148,IF(OR(BD!N66=0,BD!N66="-"),P66,BD!N66),"")</f>
        <v>0</v>
      </c>
      <c r="R66" s="12">
        <f>IF(R$148,IF(OR(BD!O66=0,BD!O66="-"),Q66,BD!O66),"")</f>
        <v>0</v>
      </c>
      <c r="S66" s="12">
        <f>IF(S$148,IF(OR(BD!P66=0,BD!P66="-"),R66,BD!P66),"")</f>
        <v>0</v>
      </c>
    </row>
    <row r="67" spans="1:19">
      <c r="A67" s="34" t="str">
        <f>BD!A67</f>
        <v>G. Abd. S. Prof.(mm) - p3</v>
      </c>
      <c r="B67" s="155" t="e">
        <f t="shared" ca="1" si="14"/>
        <v>#NAME?</v>
      </c>
      <c r="C67" s="150">
        <f t="shared" ca="1" si="15"/>
        <v>0</v>
      </c>
      <c r="D67" s="156" t="e">
        <f t="shared" ca="1" si="16"/>
        <v>#NAME?</v>
      </c>
      <c r="E67" s="12">
        <f>IF(E$2,IF(BD!B67="-",0,BD!B67+0),0)</f>
        <v>0</v>
      </c>
      <c r="F67" s="12">
        <f>IF(F$148,IF(OR(BD!C67=0,BD!C67="-"),E67,BD!C67),"")</f>
        <v>0</v>
      </c>
      <c r="G67" s="12">
        <f>IF(G$148,IF(OR(BD!D67=0,BD!D67="-"),F67,BD!D67),"")</f>
        <v>0</v>
      </c>
      <c r="H67" s="12">
        <f>IF(H$148,IF(OR(BD!E67=0,BD!E67="-"),G67,BD!E67),"")</f>
        <v>0</v>
      </c>
      <c r="I67" s="12">
        <f>IF(I$148,IF(OR(BD!F67=0,BD!F67="-"),H67,BD!F67),"")</f>
        <v>0</v>
      </c>
      <c r="J67" s="12">
        <f>IF(J$148,IF(OR(BD!G67=0,BD!G67="-"),I67,BD!G67),"")</f>
        <v>0</v>
      </c>
      <c r="K67" s="12">
        <f>IF(K$148,IF(OR(BD!H67=0,BD!H67="-"),J67,BD!H67),"")</f>
        <v>0</v>
      </c>
      <c r="L67" s="12">
        <f>IF(L$148,IF(OR(BD!I67=0,BD!I67="-"),K67,BD!I67),"")</f>
        <v>0</v>
      </c>
      <c r="M67" s="12">
        <f>IF(M$148,IF(OR(BD!J67=0,BD!J67="-"),L67,BD!J67),"")</f>
        <v>0</v>
      </c>
      <c r="N67" s="12">
        <f>IF(N$148,IF(OR(BD!K67=0,BD!K67="-"),M67,BD!K67),"")</f>
        <v>0</v>
      </c>
      <c r="O67" s="12">
        <f>IF(O$148,IF(OR(BD!L67=0,BD!L67="-"),N67,BD!L67),"")</f>
        <v>0</v>
      </c>
      <c r="P67" s="12">
        <f>IF(P$148,IF(OR(BD!M67=0,BD!M67="-"),O67,BD!M67),"")</f>
        <v>0</v>
      </c>
      <c r="Q67" s="12">
        <f>IF(Q$148,IF(OR(BD!N67=0,BD!N67="-"),P67,BD!N67),"")</f>
        <v>0</v>
      </c>
      <c r="R67" s="12">
        <f>IF(R$148,IF(OR(BD!O67=0,BD!O67="-"),Q67,BD!O67),"")</f>
        <v>0</v>
      </c>
      <c r="S67" s="12">
        <f>IF(S$148,IF(OR(BD!P67=0,BD!P67="-"),R67,BD!P67),"")</f>
        <v>0</v>
      </c>
    </row>
    <row r="68" spans="1:19">
      <c r="A68" s="34" t="str">
        <f>BD!A68</f>
        <v>Gordura Abdominal Subcutânea Profunda(mm)</v>
      </c>
      <c r="B68" s="155" t="e">
        <f t="shared" ca="1" si="14"/>
        <v>#NAME?</v>
      </c>
      <c r="C68" s="155">
        <f t="shared" ca="1" si="15"/>
        <v>4.0999999999999996</v>
      </c>
      <c r="D68" s="156" t="e">
        <f t="shared" ca="1" si="16"/>
        <v>#NAME?</v>
      </c>
      <c r="E68" s="147">
        <f>IF(E$2,IF(BD!B68="-",0,BD!B68+0),0)</f>
        <v>20.6</v>
      </c>
      <c r="F68" s="147">
        <f>IF(F$148,IF(OR(BD!C68=0,BD!C68="-"),E68,BD!C68),"")</f>
        <v>10.8</v>
      </c>
      <c r="G68" s="147">
        <f>IF(G$148,IF(OR(BD!D68=0,BD!D68="-"),F68,BD!D68),"")</f>
        <v>7.4</v>
      </c>
      <c r="H68" s="147">
        <f>IF(H$148,IF(OR(BD!E68=0,BD!E68="-"),G68,BD!E68),"")</f>
        <v>4.2</v>
      </c>
      <c r="I68" s="147">
        <f>IF(I$148,IF(OR(BD!F68=0,BD!F68="-"),H68,BD!F68),"")</f>
        <v>4.0999999999999996</v>
      </c>
      <c r="J68" s="147">
        <f>IF(J$148,IF(OR(BD!G68=0,BD!G68="-"),I68,BD!G68),"")</f>
        <v>4.0999999999999996</v>
      </c>
      <c r="K68" s="147">
        <f>IF(K$148,IF(OR(BD!H68=0,BD!H68="-"),J68,BD!H68),"")</f>
        <v>7.1</v>
      </c>
      <c r="L68" s="147">
        <f>IF(L$148,IF(OR(BD!I68=0,BD!I68="-"),K68,BD!I68),"")</f>
        <v>6.6</v>
      </c>
      <c r="M68" s="147">
        <f>IF(M$148,IF(OR(BD!J68=0,BD!J68="-"),L68,BD!J68),"")</f>
        <v>6.6</v>
      </c>
      <c r="N68" s="147">
        <f>IF(N$148,IF(OR(BD!K68=0,BD!K68="-"),M68,BD!K68),"")</f>
        <v>4.0999999999999996</v>
      </c>
      <c r="O68" s="147">
        <f>IF(O$148,IF(OR(BD!L68=0,BD!L68="-"),N68,BD!L68),"")</f>
        <v>4.0999999999999996</v>
      </c>
      <c r="P68" s="147">
        <f>IF(P$148,IF(OR(BD!M68=0,BD!M68="-"),O68,BD!M68),"")</f>
        <v>4.0999999999999996</v>
      </c>
      <c r="Q68" s="12">
        <f>IF(Q$148,IF(OR(BD!N68=0,BD!N68="-"),P68,BD!N68),"")</f>
        <v>4.0999999999999996</v>
      </c>
      <c r="R68" s="12">
        <f>IF(R$148,IF(OR(BD!O68=0,BD!O68="-"),Q68,BD!O68),"")</f>
        <v>4.0999999999999996</v>
      </c>
      <c r="S68" s="12">
        <f>IF(S$148,IF(OR(BD!P68=0,BD!P68="-"),R68,BD!P68),"")</f>
        <v>4.0999999999999996</v>
      </c>
    </row>
    <row r="69" spans="1:19">
      <c r="A69" s="34" t="str">
        <f>BD!A69</f>
        <v>Gordura Abdominal Supra muscular total(mm)</v>
      </c>
      <c r="B69" s="155" t="e">
        <f t="shared" ca="1" si="14"/>
        <v>#NAME?</v>
      </c>
      <c r="C69" s="155" t="e">
        <f t="shared" ca="1" si="15"/>
        <v>#VALUE!</v>
      </c>
      <c r="D69" s="156" t="e">
        <f t="shared" ca="1" si="16"/>
        <v>#NAME?</v>
      </c>
      <c r="E69" s="147">
        <f>IF(E$2,IF(BD!B69="-",0,BD!B69+0),0)</f>
        <v>39.5</v>
      </c>
      <c r="F69" s="147">
        <f>IF(F$148,IF(OR(BD!C69=0,BD!C69="-"),E69,BD!C69),"")</f>
        <v>18.3</v>
      </c>
      <c r="G69" s="147">
        <f>IF(G$148,IF(OR(BD!D69=0,BD!D69="-"),F69,BD!D69),"")</f>
        <v>11.7</v>
      </c>
      <c r="H69" s="147">
        <f>IF(H$148,IF(OR(BD!E69=0,BD!E69="-"),G69,BD!E69),"")</f>
        <v>10.4</v>
      </c>
      <c r="I69" s="147">
        <f>IF(I$148,IF(OR(BD!F69=0,BD!F69="-"),H69,BD!F69),"")</f>
        <v>10.5</v>
      </c>
      <c r="J69" s="147" t="e">
        <f>IF(J$148,IF(OR(BD!G69=0,BD!G69="-"),I69,BD!G69),"")</f>
        <v>#VALUE!</v>
      </c>
      <c r="K69" s="147">
        <f>IF(K$148,IF(OR(BD!H69=0,BD!H69="-"),J69,BD!H69),"")</f>
        <v>12.8</v>
      </c>
      <c r="L69" s="147">
        <f>IF(L$148,IF(OR(BD!I69=0,BD!I69="-"),K69,BD!I69),"")</f>
        <v>11.6</v>
      </c>
      <c r="M69" s="147" t="e">
        <f>IF(M$148,IF(OR(BD!J69=0,BD!J69="-"),L69,BD!J69),"")</f>
        <v>#VALUE!</v>
      </c>
      <c r="N69" s="147">
        <f>IF(N$148,IF(OR(BD!K69=0,BD!K69="-"),M69,BD!K69),"")</f>
        <v>8.1</v>
      </c>
      <c r="O69" s="147" t="e">
        <f>IF(O$148,IF(OR(BD!L69=0,BD!L69="-"),N69,BD!L69),"")</f>
        <v>#VALUE!</v>
      </c>
      <c r="P69" s="147" t="e">
        <f>IF(P$148,IF(OR(BD!M69=0,BD!M69="-"),O69,BD!M69),"")</f>
        <v>#VALUE!</v>
      </c>
      <c r="Q69" s="12" t="e">
        <f>IF(Q$148,IF(OR(BD!N69=0,BD!N69="-"),P69,BD!N69),"")</f>
        <v>#VALUE!</v>
      </c>
      <c r="R69" s="12" t="e">
        <f>IF(R$148,IF(OR(BD!O69=0,BD!O69="-"),Q69,BD!O69),"")</f>
        <v>#VALUE!</v>
      </c>
      <c r="S69" s="12" t="e">
        <f>IF(S$148,IF(OR(BD!P69=0,BD!P69="-"),R69,BD!P69),"")</f>
        <v>#VALUE!</v>
      </c>
    </row>
    <row r="70" spans="1:19">
      <c r="A70" s="34" t="str">
        <f>BD!A70</f>
        <v>G. C. Ant. do Br(mm) - p1</v>
      </c>
      <c r="B70" s="155" t="e">
        <f t="shared" ca="1" si="14"/>
        <v>#NAME?</v>
      </c>
      <c r="C70" s="155">
        <f t="shared" ca="1" si="15"/>
        <v>1.4</v>
      </c>
      <c r="D70" s="156" t="e">
        <f t="shared" ca="1" si="16"/>
        <v>#NAME?</v>
      </c>
      <c r="E70" s="147">
        <f>IF(E$2,IF(BD!B70="-",0,BD!B70+0),0)</f>
        <v>4.2</v>
      </c>
      <c r="F70" s="147">
        <f>IF(F$148,IF(OR(BD!C70=0,BD!C70="-"),E70,BD!C70),"")</f>
        <v>3.5</v>
      </c>
      <c r="G70" s="147">
        <f>IF(G$148,IF(OR(BD!D70=0,BD!D70="-"),F70,BD!D70),"")</f>
        <v>3.4</v>
      </c>
      <c r="H70" s="147">
        <f>IF(H$148,IF(OR(BD!E70=0,BD!E70="-"),G70,BD!E70),"")</f>
        <v>4.5999999999999996</v>
      </c>
      <c r="I70" s="147">
        <f>IF(I$148,IF(OR(BD!F70=0,BD!F70="-"),H70,BD!F70),"")</f>
        <v>4.4000000000000004</v>
      </c>
      <c r="J70" s="147">
        <f>IF(J$148,IF(OR(BD!G70=0,BD!G70="-"),I70,BD!G70),"")</f>
        <v>4.4000000000000004</v>
      </c>
      <c r="K70" s="147">
        <f>IF(K$148,IF(OR(BD!H70=0,BD!H70="-"),J70,BD!H70),"")</f>
        <v>1.6</v>
      </c>
      <c r="L70" s="147">
        <f>IF(L$148,IF(OR(BD!I70=0,BD!I70="-"),K70,BD!I70),"")</f>
        <v>2.1</v>
      </c>
      <c r="M70" s="147">
        <f>IF(M$148,IF(OR(BD!J70=0,BD!J70="-"),L70,BD!J70),"")</f>
        <v>2.1</v>
      </c>
      <c r="N70" s="147">
        <f>IF(N$148,IF(OR(BD!K70=0,BD!K70="-"),M70,BD!K70),"")</f>
        <v>1.4</v>
      </c>
      <c r="O70" s="147">
        <f>IF(O$148,IF(OR(BD!L70=0,BD!L70="-"),N70,BD!L70),"")</f>
        <v>1.4</v>
      </c>
      <c r="P70" s="147">
        <f>IF(P$148,IF(OR(BD!M70=0,BD!M70="-"),O70,BD!M70),"")</f>
        <v>1.4</v>
      </c>
      <c r="Q70" s="12">
        <f>IF(Q$148,IF(OR(BD!N70=0,BD!N70="-"),P70,BD!N70),"")</f>
        <v>1.4</v>
      </c>
      <c r="R70" s="12">
        <f>IF(R$148,IF(OR(BD!O70=0,BD!O70="-"),Q70,BD!O70),"")</f>
        <v>1.4</v>
      </c>
      <c r="S70" s="12">
        <f>IF(S$148,IF(OR(BD!P70=0,BD!P70="-"),R70,BD!P70),"")</f>
        <v>1.4</v>
      </c>
    </row>
    <row r="71" spans="1:19">
      <c r="A71" s="34" t="str">
        <f>BD!A71</f>
        <v>G. C. Ant. do Br(mm) - p2</v>
      </c>
      <c r="B71" s="155" t="e">
        <f t="shared" ca="1" si="14"/>
        <v>#NAME?</v>
      </c>
      <c r="C71" s="150">
        <f t="shared" ca="1" si="15"/>
        <v>0</v>
      </c>
      <c r="D71" s="156" t="e">
        <f t="shared" ca="1" si="16"/>
        <v>#NAME?</v>
      </c>
      <c r="E71" s="12">
        <f>IF(E$2,IF(BD!B71="-",0,BD!B71+0),0)</f>
        <v>0</v>
      </c>
      <c r="F71" s="12">
        <f>IF(F$148,IF(OR(BD!C71=0,BD!C71="-"),E71,BD!C71),"")</f>
        <v>0</v>
      </c>
      <c r="G71" s="12">
        <f>IF(G$148,IF(OR(BD!D71=0,BD!D71="-"),F71,BD!D71),"")</f>
        <v>0</v>
      </c>
      <c r="H71" s="12">
        <f>IF(H$148,IF(OR(BD!E71=0,BD!E71="-"),G71,BD!E71),"")</f>
        <v>0</v>
      </c>
      <c r="I71" s="12">
        <f>IF(I$148,IF(OR(BD!F71=0,BD!F71="-"),H71,BD!F71),"")</f>
        <v>0</v>
      </c>
      <c r="J71" s="12">
        <f>IF(J$148,IF(OR(BD!G71=0,BD!G71="-"),I71,BD!G71),"")</f>
        <v>0</v>
      </c>
      <c r="K71" s="12">
        <f>IF(K$148,IF(OR(BD!H71=0,BD!H71="-"),J71,BD!H71),"")</f>
        <v>0</v>
      </c>
      <c r="L71" s="12">
        <f>IF(L$148,IF(OR(BD!I71=0,BD!I71="-"),K71,BD!I71),"")</f>
        <v>0</v>
      </c>
      <c r="M71" s="12">
        <f>IF(M$148,IF(OR(BD!J71=0,BD!J71="-"),L71,BD!J71),"")</f>
        <v>0</v>
      </c>
      <c r="N71" s="12">
        <f>IF(N$148,IF(OR(BD!K71=0,BD!K71="-"),M71,BD!K71),"")</f>
        <v>0</v>
      </c>
      <c r="O71" s="12">
        <f>IF(O$148,IF(OR(BD!L71=0,BD!L71="-"),N71,BD!L71),"")</f>
        <v>0</v>
      </c>
      <c r="P71" s="12">
        <f>IF(P$148,IF(OR(BD!M71=0,BD!M71="-"),O71,BD!M71),"")</f>
        <v>0</v>
      </c>
      <c r="Q71" s="12">
        <f>IF(Q$148,IF(OR(BD!N71=0,BD!N71="-"),P71,BD!N71),"")</f>
        <v>0</v>
      </c>
      <c r="R71" s="12">
        <f>IF(R$148,IF(OR(BD!O71=0,BD!O71="-"),Q71,BD!O71),"")</f>
        <v>0</v>
      </c>
      <c r="S71" s="12">
        <f>IF(S$148,IF(OR(BD!P71=0,BD!P71="-"),R71,BD!P71),"")</f>
        <v>0</v>
      </c>
    </row>
    <row r="72" spans="1:19">
      <c r="A72" s="34" t="str">
        <f>BD!A72</f>
        <v>G. C. Ant. do Br(mm) - p3</v>
      </c>
      <c r="B72" s="155" t="e">
        <f t="shared" ca="1" si="14"/>
        <v>#NAME?</v>
      </c>
      <c r="C72" s="150">
        <f t="shared" ca="1" si="15"/>
        <v>0</v>
      </c>
      <c r="D72" s="156" t="e">
        <f t="shared" ca="1" si="16"/>
        <v>#NAME?</v>
      </c>
      <c r="E72" s="12">
        <f>IF(E$2,IF(BD!B72="-",0,BD!B72+0),0)</f>
        <v>0</v>
      </c>
      <c r="F72" s="12">
        <f>IF(F$148,IF(OR(BD!C72=0,BD!C72="-"),E72,BD!C72),"")</f>
        <v>0</v>
      </c>
      <c r="G72" s="12">
        <f>IF(G$148,IF(OR(BD!D72=0,BD!D72="-"),F72,BD!D72),"")</f>
        <v>0</v>
      </c>
      <c r="H72" s="12">
        <f>IF(H$148,IF(OR(BD!E72=0,BD!E72="-"),G72,BD!E72),"")</f>
        <v>0</v>
      </c>
      <c r="I72" s="12">
        <f>IF(I$148,IF(OR(BD!F72=0,BD!F72="-"),H72,BD!F72),"")</f>
        <v>0</v>
      </c>
      <c r="J72" s="12">
        <f>IF(J$148,IF(OR(BD!G72=0,BD!G72="-"),I72,BD!G72),"")</f>
        <v>0</v>
      </c>
      <c r="K72" s="12">
        <f>IF(K$148,IF(OR(BD!H72=0,BD!H72="-"),J72,BD!H72),"")</f>
        <v>0</v>
      </c>
      <c r="L72" s="12">
        <f>IF(L$148,IF(OR(BD!I72=0,BD!I72="-"),K72,BD!I72),"")</f>
        <v>0</v>
      </c>
      <c r="M72" s="12">
        <f>IF(M$148,IF(OR(BD!J72=0,BD!J72="-"),L72,BD!J72),"")</f>
        <v>0</v>
      </c>
      <c r="N72" s="12">
        <f>IF(N$148,IF(OR(BD!K72=0,BD!K72="-"),M72,BD!K72),"")</f>
        <v>0</v>
      </c>
      <c r="O72" s="12">
        <f>IF(O$148,IF(OR(BD!L72=0,BD!L72="-"),N72,BD!L72),"")</f>
        <v>0</v>
      </c>
      <c r="P72" s="12">
        <f>IF(P$148,IF(OR(BD!M72=0,BD!M72="-"),O72,BD!M72),"")</f>
        <v>0</v>
      </c>
      <c r="Q72" s="12">
        <f>IF(Q$148,IF(OR(BD!N72=0,BD!N72="-"),P72,BD!N72),"")</f>
        <v>0</v>
      </c>
      <c r="R72" s="12">
        <f>IF(R$148,IF(OR(BD!O72=0,BD!O72="-"),Q72,BD!O72),"")</f>
        <v>0</v>
      </c>
      <c r="S72" s="12">
        <f>IF(S$148,IF(OR(BD!P72=0,BD!P72="-"),R72,BD!P72),"")</f>
        <v>0</v>
      </c>
    </row>
    <row r="73" spans="1:19">
      <c r="A73" s="34" t="str">
        <f>BD!A73</f>
        <v>G. C. Ant. do Br(mm) - p4</v>
      </c>
      <c r="B73" s="155" t="e">
        <f t="shared" ca="1" si="14"/>
        <v>#NAME?</v>
      </c>
      <c r="C73" s="150">
        <f t="shared" ca="1" si="15"/>
        <v>0</v>
      </c>
      <c r="D73" s="156" t="e">
        <f t="shared" ca="1" si="16"/>
        <v>#NAME?</v>
      </c>
      <c r="E73" s="12">
        <f>IF(E$2,IF(BD!B73="-",0,BD!B73+0),0)</f>
        <v>0</v>
      </c>
      <c r="F73" s="12">
        <f>IF(F$148,IF(OR(BD!C73=0,BD!C73="-"),E73,BD!C73),"")</f>
        <v>0</v>
      </c>
      <c r="G73" s="12">
        <f>IF(G$148,IF(OR(BD!D73=0,BD!D73="-"),F73,BD!D73),"")</f>
        <v>0</v>
      </c>
      <c r="H73" s="12">
        <f>IF(H$148,IF(OR(BD!E73=0,BD!E73="-"),G73,BD!E73),"")</f>
        <v>0</v>
      </c>
      <c r="I73" s="12">
        <f>IF(I$148,IF(OR(BD!F73=0,BD!F73="-"),H73,BD!F73),"")</f>
        <v>0</v>
      </c>
      <c r="J73" s="12">
        <f>IF(J$148,IF(OR(BD!G73=0,BD!G73="-"),I73,BD!G73),"")</f>
        <v>0</v>
      </c>
      <c r="K73" s="12">
        <f>IF(K$148,IF(OR(BD!H73=0,BD!H73="-"),J73,BD!H73),"")</f>
        <v>0</v>
      </c>
      <c r="L73" s="12">
        <f>IF(L$148,IF(OR(BD!I73=0,BD!I73="-"),K73,BD!I73),"")</f>
        <v>0</v>
      </c>
      <c r="M73" s="12">
        <f>IF(M$148,IF(OR(BD!J73=0,BD!J73="-"),L73,BD!J73),"")</f>
        <v>0</v>
      </c>
      <c r="N73" s="12">
        <f>IF(N$148,IF(OR(BD!K73=0,BD!K73="-"),M73,BD!K73),"")</f>
        <v>0</v>
      </c>
      <c r="O73" s="12">
        <f>IF(O$148,IF(OR(BD!L73=0,BD!L73="-"),N73,BD!L73),"")</f>
        <v>0</v>
      </c>
      <c r="P73" s="12">
        <f>IF(P$148,IF(OR(BD!M73=0,BD!M73="-"),O73,BD!M73),"")</f>
        <v>0</v>
      </c>
      <c r="Q73" s="12">
        <f>IF(Q$148,IF(OR(BD!N73=0,BD!N73="-"),P73,BD!N73),"")</f>
        <v>0</v>
      </c>
      <c r="R73" s="12">
        <f>IF(R$148,IF(OR(BD!O73=0,BD!O73="-"),Q73,BD!O73),"")</f>
        <v>0</v>
      </c>
      <c r="S73" s="12">
        <f>IF(S$148,IF(OR(BD!P73=0,BD!P73="-"),R73,BD!P73),"")</f>
        <v>0</v>
      </c>
    </row>
    <row r="74" spans="1:19">
      <c r="A74" s="34" t="str">
        <f>BD!A74</f>
        <v>G. C. Ant. do Br(mm) - p5</v>
      </c>
      <c r="B74" s="155" t="e">
        <f t="shared" ca="1" si="14"/>
        <v>#NAME?</v>
      </c>
      <c r="C74" s="150">
        <f t="shared" ca="1" si="15"/>
        <v>0</v>
      </c>
      <c r="D74" s="156" t="e">
        <f t="shared" ca="1" si="16"/>
        <v>#NAME?</v>
      </c>
      <c r="E74" s="12">
        <f>IF(E$2,IF(BD!B74="-",0,BD!B74+0),0)</f>
        <v>0</v>
      </c>
      <c r="F74" s="12">
        <f>IF(F$148,IF(OR(BD!C74=0,BD!C74="-"),E74,BD!C74),"")</f>
        <v>0</v>
      </c>
      <c r="G74" s="12">
        <f>IF(G$148,IF(OR(BD!D74=0,BD!D74="-"),F74,BD!D74),"")</f>
        <v>0</v>
      </c>
      <c r="H74" s="12">
        <f>IF(H$148,IF(OR(BD!E74=0,BD!E74="-"),G74,BD!E74),"")</f>
        <v>0</v>
      </c>
      <c r="I74" s="12">
        <f>IF(I$148,IF(OR(BD!F74=0,BD!F74="-"),H74,BD!F74),"")</f>
        <v>0</v>
      </c>
      <c r="J74" s="12">
        <f>IF(J$148,IF(OR(BD!G74=0,BD!G74="-"),I74,BD!G74),"")</f>
        <v>0</v>
      </c>
      <c r="K74" s="12">
        <f>IF(K$148,IF(OR(BD!H74=0,BD!H74="-"),J74,BD!H74),"")</f>
        <v>0</v>
      </c>
      <c r="L74" s="12">
        <f>IF(L$148,IF(OR(BD!I74=0,BD!I74="-"),K74,BD!I74),"")</f>
        <v>0</v>
      </c>
      <c r="M74" s="12">
        <f>IF(M$148,IF(OR(BD!J74=0,BD!J74="-"),L74,BD!J74),"")</f>
        <v>0</v>
      </c>
      <c r="N74" s="12">
        <f>IF(N$148,IF(OR(BD!K74=0,BD!K74="-"),M74,BD!K74),"")</f>
        <v>0</v>
      </c>
      <c r="O74" s="12">
        <f>IF(O$148,IF(OR(BD!L74=0,BD!L74="-"),N74,BD!L74),"")</f>
        <v>0</v>
      </c>
      <c r="P74" s="12">
        <f>IF(P$148,IF(OR(BD!M74=0,BD!M74="-"),O74,BD!M74),"")</f>
        <v>0</v>
      </c>
      <c r="Q74" s="12">
        <f>IF(Q$148,IF(OR(BD!N74=0,BD!N74="-"),P74,BD!N74),"")</f>
        <v>0</v>
      </c>
      <c r="R74" s="12">
        <f>IF(R$148,IF(OR(BD!O74=0,BD!O74="-"),Q74,BD!O74),"")</f>
        <v>0</v>
      </c>
      <c r="S74" s="12">
        <f>IF(S$148,IF(OR(BD!P74=0,BD!P74="-"),R74,BD!P74),"")</f>
        <v>0</v>
      </c>
    </row>
    <row r="75" spans="1:19">
      <c r="A75" s="34" t="str">
        <f>BD!A75</f>
        <v>G. C. Ant. do Br(mm) - p6</v>
      </c>
      <c r="B75" s="155" t="e">
        <f t="shared" ca="1" si="14"/>
        <v>#NAME?</v>
      </c>
      <c r="C75" s="150">
        <f t="shared" ca="1" si="15"/>
        <v>0</v>
      </c>
      <c r="D75" s="156" t="e">
        <f t="shared" ca="1" si="16"/>
        <v>#NAME?</v>
      </c>
      <c r="E75" s="12">
        <f>IF(E$2,IF(BD!B75="-",0,BD!B75+0),0)</f>
        <v>0</v>
      </c>
      <c r="F75" s="12">
        <f>IF(F$148,IF(OR(BD!C75=0,BD!C75="-"),E75,BD!C75),"")</f>
        <v>0</v>
      </c>
      <c r="G75" s="12">
        <f>IF(G$148,IF(OR(BD!D75=0,BD!D75="-"),F75,BD!D75),"")</f>
        <v>0</v>
      </c>
      <c r="H75" s="12">
        <f>IF(H$148,IF(OR(BD!E75=0,BD!E75="-"),G75,BD!E75),"")</f>
        <v>0</v>
      </c>
      <c r="I75" s="12">
        <f>IF(I$148,IF(OR(BD!F75=0,BD!F75="-"),H75,BD!F75),"")</f>
        <v>0</v>
      </c>
      <c r="J75" s="12">
        <f>IF(J$148,IF(OR(BD!G75=0,BD!G75="-"),I75,BD!G75),"")</f>
        <v>0</v>
      </c>
      <c r="K75" s="12">
        <f>IF(K$148,IF(OR(BD!H75=0,BD!H75="-"),J75,BD!H75),"")</f>
        <v>0</v>
      </c>
      <c r="L75" s="12">
        <f>IF(L$148,IF(OR(BD!I75=0,BD!I75="-"),K75,BD!I75),"")</f>
        <v>0</v>
      </c>
      <c r="M75" s="12">
        <f>IF(M$148,IF(OR(BD!J75=0,BD!J75="-"),L75,BD!J75),"")</f>
        <v>0</v>
      </c>
      <c r="N75" s="12">
        <f>IF(N$148,IF(OR(BD!K75=0,BD!K75="-"),M75,BD!K75),"")</f>
        <v>0</v>
      </c>
      <c r="O75" s="12">
        <f>IF(O$148,IF(OR(BD!L75=0,BD!L75="-"),N75,BD!L75),"")</f>
        <v>0</v>
      </c>
      <c r="P75" s="12">
        <f>IF(P$148,IF(OR(BD!M75=0,BD!M75="-"),O75,BD!M75),"")</f>
        <v>0</v>
      </c>
      <c r="Q75" s="12">
        <f>IF(Q$148,IF(OR(BD!N75=0,BD!N75="-"),P75,BD!N75),"")</f>
        <v>0</v>
      </c>
      <c r="R75" s="12">
        <f>IF(R$148,IF(OR(BD!O75=0,BD!O75="-"),Q75,BD!O75),"")</f>
        <v>0</v>
      </c>
      <c r="S75" s="12">
        <f>IF(S$148,IF(OR(BD!P75=0,BD!P75="-"),R75,BD!P75),"")</f>
        <v>0</v>
      </c>
    </row>
    <row r="76" spans="1:19">
      <c r="A76" s="34" t="str">
        <f>BD!A76</f>
        <v>G. C. Ant. do Br(mm) - p7</v>
      </c>
      <c r="B76" s="155" t="e">
        <f t="shared" ca="1" si="14"/>
        <v>#NAME?</v>
      </c>
      <c r="C76" s="150">
        <f t="shared" ca="1" si="15"/>
        <v>0</v>
      </c>
      <c r="D76" s="156" t="e">
        <f t="shared" ca="1" si="16"/>
        <v>#NAME?</v>
      </c>
      <c r="E76" s="12">
        <f>IF(E$2,IF(BD!B76="-",0,BD!B76+0),0)</f>
        <v>0</v>
      </c>
      <c r="F76" s="12">
        <f>IF(F$148,IF(OR(BD!C76=0,BD!C76="-"),E76,BD!C76),"")</f>
        <v>0</v>
      </c>
      <c r="G76" s="12">
        <f>IF(G$148,IF(OR(BD!D76=0,BD!D76="-"),F76,BD!D76),"")</f>
        <v>0</v>
      </c>
      <c r="H76" s="12">
        <f>IF(H$148,IF(OR(BD!E76=0,BD!E76="-"),G76,BD!E76),"")</f>
        <v>0</v>
      </c>
      <c r="I76" s="12">
        <f>IF(I$148,IF(OR(BD!F76=0,BD!F76="-"),H76,BD!F76),"")</f>
        <v>0</v>
      </c>
      <c r="J76" s="12">
        <f>IF(J$148,IF(OR(BD!G76=0,BD!G76="-"),I76,BD!G76),"")</f>
        <v>0</v>
      </c>
      <c r="K76" s="12">
        <f>IF(K$148,IF(OR(BD!H76=0,BD!H76="-"),J76,BD!H76),"")</f>
        <v>0</v>
      </c>
      <c r="L76" s="12">
        <f>IF(L$148,IF(OR(BD!I76=0,BD!I76="-"),K76,BD!I76),"")</f>
        <v>0</v>
      </c>
      <c r="M76" s="12">
        <f>IF(M$148,IF(OR(BD!J76=0,BD!J76="-"),L76,BD!J76),"")</f>
        <v>0</v>
      </c>
      <c r="N76" s="12">
        <f>IF(N$148,IF(OR(BD!K76=0,BD!K76="-"),M76,BD!K76),"")</f>
        <v>0</v>
      </c>
      <c r="O76" s="12">
        <f>IF(O$148,IF(OR(BD!L76=0,BD!L76="-"),N76,BD!L76),"")</f>
        <v>0</v>
      </c>
      <c r="P76" s="12">
        <f>IF(P$148,IF(OR(BD!M76=0,BD!M76="-"),O76,BD!M76),"")</f>
        <v>0</v>
      </c>
      <c r="Q76" s="12">
        <f>IF(Q$148,IF(OR(BD!N76=0,BD!N76="-"),P76,BD!N76),"")</f>
        <v>0</v>
      </c>
      <c r="R76" s="12">
        <f>IF(R$148,IF(OR(BD!O76=0,BD!O76="-"),Q76,BD!O76),"")</f>
        <v>0</v>
      </c>
      <c r="S76" s="12">
        <f>IF(S$148,IF(OR(BD!P76=0,BD!P76="-"),R76,BD!P76),"")</f>
        <v>0</v>
      </c>
    </row>
    <row r="77" spans="1:19">
      <c r="A77" s="34" t="str">
        <f>BD!A77</f>
        <v>G. C. Ant. do Br(mm) - p8</v>
      </c>
      <c r="B77" s="155" t="e">
        <f t="shared" ca="1" si="14"/>
        <v>#NAME?</v>
      </c>
      <c r="C77" s="150">
        <f t="shared" ca="1" si="15"/>
        <v>0</v>
      </c>
      <c r="D77" s="156" t="e">
        <f t="shared" ca="1" si="16"/>
        <v>#NAME?</v>
      </c>
      <c r="E77" s="12">
        <f>IF(E$2,IF(BD!B77="-",0,BD!B77+0),0)</f>
        <v>0</v>
      </c>
      <c r="F77" s="12">
        <f>IF(F$148,IF(OR(BD!C77=0,BD!C77="-"),E77,BD!C77),"")</f>
        <v>0</v>
      </c>
      <c r="G77" s="12">
        <f>IF(G$148,IF(OR(BD!D77=0,BD!D77="-"),F77,BD!D77),"")</f>
        <v>0</v>
      </c>
      <c r="H77" s="12">
        <f>IF(H$148,IF(OR(BD!E77=0,BD!E77="-"),G77,BD!E77),"")</f>
        <v>0</v>
      </c>
      <c r="I77" s="12">
        <f>IF(I$148,IF(OR(BD!F77=0,BD!F77="-"),H77,BD!F77),"")</f>
        <v>0</v>
      </c>
      <c r="J77" s="12">
        <f>IF(J$148,IF(OR(BD!G77=0,BD!G77="-"),I77,BD!G77),"")</f>
        <v>0</v>
      </c>
      <c r="K77" s="12">
        <f>IF(K$148,IF(OR(BD!H77=0,BD!H77="-"),J77,BD!H77),"")</f>
        <v>0</v>
      </c>
      <c r="L77" s="12">
        <f>IF(L$148,IF(OR(BD!I77=0,BD!I77="-"),K77,BD!I77),"")</f>
        <v>0</v>
      </c>
      <c r="M77" s="12">
        <f>IF(M$148,IF(OR(BD!J77=0,BD!J77="-"),L77,BD!J77),"")</f>
        <v>0</v>
      </c>
      <c r="N77" s="12">
        <f>IF(N$148,IF(OR(BD!K77=0,BD!K77="-"),M77,BD!K77),"")</f>
        <v>0</v>
      </c>
      <c r="O77" s="12">
        <f>IF(O$148,IF(OR(BD!L77=0,BD!L77="-"),N77,BD!L77),"")</f>
        <v>0</v>
      </c>
      <c r="P77" s="12">
        <f>IF(P$148,IF(OR(BD!M77=0,BD!M77="-"),O77,BD!M77),"")</f>
        <v>0</v>
      </c>
      <c r="Q77" s="12">
        <f>IF(Q$148,IF(OR(BD!N77=0,BD!N77="-"),P77,BD!N77),"")</f>
        <v>0</v>
      </c>
      <c r="R77" s="12">
        <f>IF(R$148,IF(OR(BD!O77=0,BD!O77="-"),Q77,BD!O77),"")</f>
        <v>0</v>
      </c>
      <c r="S77" s="12">
        <f>IF(S$148,IF(OR(BD!P77=0,BD!P77="-"),R77,BD!P77),"")</f>
        <v>0</v>
      </c>
    </row>
    <row r="78" spans="1:19">
      <c r="A78" s="34" t="str">
        <f>BD!A78</f>
        <v>G. C. Ant. do Br(mm) - p9</v>
      </c>
      <c r="B78" s="155" t="e">
        <f t="shared" ca="1" si="14"/>
        <v>#NAME?</v>
      </c>
      <c r="C78" s="150">
        <f t="shared" ca="1" si="15"/>
        <v>0</v>
      </c>
      <c r="D78" s="156" t="e">
        <f t="shared" ca="1" si="16"/>
        <v>#NAME?</v>
      </c>
      <c r="E78" s="12">
        <f>IF(E$2,IF(BD!B78="-",0,BD!B78+0),0)</f>
        <v>0</v>
      </c>
      <c r="F78" s="12">
        <f>IF(F$148,IF(OR(BD!C78=0,BD!C78="-"),E78,BD!C78),"")</f>
        <v>0</v>
      </c>
      <c r="G78" s="12">
        <f>IF(G$148,IF(OR(BD!D78=0,BD!D78="-"),F78,BD!D78),"")</f>
        <v>0</v>
      </c>
      <c r="H78" s="12">
        <f>IF(H$148,IF(OR(BD!E78=0,BD!E78="-"),G78,BD!E78),"")</f>
        <v>0</v>
      </c>
      <c r="I78" s="12">
        <f>IF(I$148,IF(OR(BD!F78=0,BD!F78="-"),H78,BD!F78),"")</f>
        <v>0</v>
      </c>
      <c r="J78" s="12">
        <f>IF(J$148,IF(OR(BD!G78=0,BD!G78="-"),I78,BD!G78),"")</f>
        <v>0</v>
      </c>
      <c r="K78" s="12">
        <f>IF(K$148,IF(OR(BD!H78=0,BD!H78="-"),J78,BD!H78),"")</f>
        <v>0</v>
      </c>
      <c r="L78" s="12">
        <f>IF(L$148,IF(OR(BD!I78=0,BD!I78="-"),K78,BD!I78),"")</f>
        <v>0</v>
      </c>
      <c r="M78" s="12">
        <f>IF(M$148,IF(OR(BD!J78=0,BD!J78="-"),L78,BD!J78),"")</f>
        <v>0</v>
      </c>
      <c r="N78" s="12">
        <f>IF(N$148,IF(OR(BD!K78=0,BD!K78="-"),M78,BD!K78),"")</f>
        <v>0</v>
      </c>
      <c r="O78" s="12">
        <f>IF(O$148,IF(OR(BD!L78=0,BD!L78="-"),N78,BD!L78),"")</f>
        <v>0</v>
      </c>
      <c r="P78" s="12">
        <f>IF(P$148,IF(OR(BD!M78=0,BD!M78="-"),O78,BD!M78),"")</f>
        <v>0</v>
      </c>
      <c r="Q78" s="12">
        <f>IF(Q$148,IF(OR(BD!N78=0,BD!N78="-"),P78,BD!N78),"")</f>
        <v>0</v>
      </c>
      <c r="R78" s="12">
        <f>IF(R$148,IF(OR(BD!O78=0,BD!O78="-"),Q78,BD!O78),"")</f>
        <v>0</v>
      </c>
      <c r="S78" s="12">
        <f>IF(S$148,IF(OR(BD!P78=0,BD!P78="-"),R78,BD!P78),"")</f>
        <v>0</v>
      </c>
    </row>
    <row r="79" spans="1:19">
      <c r="A79" s="34" t="str">
        <f>BD!A79</f>
        <v>Compartimento Anterior do Braço(mm)</v>
      </c>
      <c r="B79" s="155" t="e">
        <f t="shared" ca="1" si="14"/>
        <v>#NAME?</v>
      </c>
      <c r="C79" s="155">
        <f t="shared" ca="1" si="15"/>
        <v>1.4</v>
      </c>
      <c r="D79" s="156" t="e">
        <f t="shared" ca="1" si="16"/>
        <v>#NAME?</v>
      </c>
      <c r="E79" s="147">
        <f>IF(E$2,IF(BD!B79="-",0,BD!B79+0),0)</f>
        <v>4.2</v>
      </c>
      <c r="F79" s="147">
        <f>IF(F$148,IF(OR(BD!C79=0,BD!C79="-"),E79,BD!C79),"")</f>
        <v>3.5</v>
      </c>
      <c r="G79" s="147">
        <f>IF(G$148,IF(OR(BD!D79=0,BD!D79="-"),F79,BD!D79),"")</f>
        <v>3.4</v>
      </c>
      <c r="H79" s="147">
        <f>IF(H$148,IF(OR(BD!E79=0,BD!E79="-"),G79,BD!E79),"")</f>
        <v>4.5999999999999996</v>
      </c>
      <c r="I79" s="147">
        <f>IF(I$148,IF(OR(BD!F79=0,BD!F79="-"),H79,BD!F79),"")</f>
        <v>4.4000000000000004</v>
      </c>
      <c r="J79" s="147">
        <f>IF(J$148,IF(OR(BD!G79=0,BD!G79="-"),I79,BD!G79),"")</f>
        <v>4.4000000000000004</v>
      </c>
      <c r="K79" s="147">
        <f>IF(K$148,IF(OR(BD!H79=0,BD!H79="-"),J79,BD!H79),"")</f>
        <v>1.6</v>
      </c>
      <c r="L79" s="147">
        <f>IF(L$148,IF(OR(BD!I79=0,BD!I79="-"),K79,BD!I79),"")</f>
        <v>2.1</v>
      </c>
      <c r="M79" s="147">
        <f>IF(M$148,IF(OR(BD!J79=0,BD!J79="-"),L79,BD!J79),"")</f>
        <v>2.1</v>
      </c>
      <c r="N79" s="147">
        <f>IF(N$148,IF(OR(BD!K79=0,BD!K79="-"),M79,BD!K79),"")</f>
        <v>1.4</v>
      </c>
      <c r="O79" s="147">
        <f>IF(O$148,IF(OR(BD!L79=0,BD!L79="-"),N79,BD!L79),"")</f>
        <v>1.4</v>
      </c>
      <c r="P79" s="147">
        <f>IF(P$148,IF(OR(BD!M79=0,BD!M79="-"),O79,BD!M79),"")</f>
        <v>1.4</v>
      </c>
      <c r="Q79" s="12">
        <f>IF(Q$148,IF(OR(BD!N79=0,BD!N79="-"),P79,BD!N79),"")</f>
        <v>1.4</v>
      </c>
      <c r="R79" s="12">
        <f>IF(R$148,IF(OR(BD!O79=0,BD!O79="-"),Q79,BD!O79),"")</f>
        <v>1.4</v>
      </c>
      <c r="S79" s="12">
        <f>IF(S$148,IF(OR(BD!P79=0,BD!P79="-"),R79,BD!P79),"")</f>
        <v>1.4</v>
      </c>
    </row>
    <row r="80" spans="1:19">
      <c r="A80" s="34" t="str">
        <f>BD!A80</f>
        <v>G. C. Post. do Br(mm) - p1</v>
      </c>
      <c r="B80" s="155" t="e">
        <f t="shared" ca="1" si="14"/>
        <v>#NAME?</v>
      </c>
      <c r="C80" s="155">
        <f t="shared" ca="1" si="15"/>
        <v>2</v>
      </c>
      <c r="D80" s="156" t="e">
        <f t="shared" ca="1" si="16"/>
        <v>#NAME?</v>
      </c>
      <c r="E80" s="147">
        <f>IF(E$2,IF(BD!B80="-",0,BD!B80+0),0)</f>
        <v>5.4</v>
      </c>
      <c r="F80" s="147">
        <f>IF(F$148,IF(OR(BD!C80=0,BD!C80="-"),E80,BD!C80),"")</f>
        <v>6.3</v>
      </c>
      <c r="G80" s="147">
        <f>IF(G$148,IF(OR(BD!D80=0,BD!D80="-"),F80,BD!D80),"")</f>
        <v>4</v>
      </c>
      <c r="H80" s="147">
        <f>IF(H$148,IF(OR(BD!E80=0,BD!E80="-"),G80,BD!E80),"")</f>
        <v>4.3</v>
      </c>
      <c r="I80" s="147">
        <f>IF(I$148,IF(OR(BD!F80=0,BD!F80="-"),H80,BD!F80),"")</f>
        <v>4</v>
      </c>
      <c r="J80" s="147">
        <f>IF(J$148,IF(OR(BD!G80=0,BD!G80="-"),I80,BD!G80),"")</f>
        <v>4</v>
      </c>
      <c r="K80" s="147">
        <f>IF(K$148,IF(OR(BD!H80=0,BD!H80="-"),J80,BD!H80),"")</f>
        <v>1.8</v>
      </c>
      <c r="L80" s="147">
        <f>IF(L$148,IF(OR(BD!I80=0,BD!I80="-"),K80,BD!I80),"")</f>
        <v>3.2</v>
      </c>
      <c r="M80" s="147">
        <f>IF(M$148,IF(OR(BD!J80=0,BD!J80="-"),L80,BD!J80),"")</f>
        <v>3.2</v>
      </c>
      <c r="N80" s="147">
        <f>IF(N$148,IF(OR(BD!K80=0,BD!K80="-"),M80,BD!K80),"")</f>
        <v>2</v>
      </c>
      <c r="O80" s="147">
        <f>IF(O$148,IF(OR(BD!L80=0,BD!L80="-"),N80,BD!L80),"")</f>
        <v>2</v>
      </c>
      <c r="P80" s="147">
        <f>IF(P$148,IF(OR(BD!M80=0,BD!M80="-"),O80,BD!M80),"")</f>
        <v>2</v>
      </c>
      <c r="Q80" s="12">
        <f>IF(Q$148,IF(OR(BD!N80=0,BD!N80="-"),P80,BD!N80),"")</f>
        <v>2</v>
      </c>
      <c r="R80" s="12">
        <f>IF(R$148,IF(OR(BD!O80=0,BD!O80="-"),Q80,BD!O80),"")</f>
        <v>2</v>
      </c>
      <c r="S80" s="12">
        <f>IF(S$148,IF(OR(BD!P80=0,BD!P80="-"),R80,BD!P80),"")</f>
        <v>2</v>
      </c>
    </row>
    <row r="81" spans="1:19">
      <c r="A81" s="34" t="str">
        <f>BD!A81</f>
        <v>G. C. Post. do Br(mm) - p2</v>
      </c>
      <c r="B81" s="155" t="e">
        <f t="shared" ca="1" si="14"/>
        <v>#NAME?</v>
      </c>
      <c r="C81" s="150">
        <f t="shared" ca="1" si="15"/>
        <v>0</v>
      </c>
      <c r="D81" s="156" t="e">
        <f t="shared" ca="1" si="16"/>
        <v>#NAME?</v>
      </c>
      <c r="E81" s="12">
        <f>IF(E$2,IF(BD!B81="-",0,BD!B81+0),0)</f>
        <v>0</v>
      </c>
      <c r="F81" s="12">
        <f>IF(F$148,IF(OR(BD!C81=0,BD!C81="-"),E81,BD!C81),"")</f>
        <v>0</v>
      </c>
      <c r="G81" s="12">
        <f>IF(G$148,IF(OR(BD!D81=0,BD!D81="-"),F81,BD!D81),"")</f>
        <v>0</v>
      </c>
      <c r="H81" s="12">
        <f>IF(H$148,IF(OR(BD!E81=0,BD!E81="-"),G81,BD!E81),"")</f>
        <v>0</v>
      </c>
      <c r="I81" s="12">
        <f>IF(I$148,IF(OR(BD!F81=0,BD!F81="-"),H81,BD!F81),"")</f>
        <v>0</v>
      </c>
      <c r="J81" s="12">
        <f>IF(J$148,IF(OR(BD!G81=0,BD!G81="-"),I81,BD!G81),"")</f>
        <v>0</v>
      </c>
      <c r="K81" s="12">
        <f>IF(K$148,IF(OR(BD!H81=0,BD!H81="-"),J81,BD!H81),"")</f>
        <v>0</v>
      </c>
      <c r="L81" s="12">
        <f>IF(L$148,IF(OR(BD!I81=0,BD!I81="-"),K81,BD!I81),"")</f>
        <v>0</v>
      </c>
      <c r="M81" s="12">
        <f>IF(M$148,IF(OR(BD!J81=0,BD!J81="-"),L81,BD!J81),"")</f>
        <v>0</v>
      </c>
      <c r="N81" s="12">
        <f>IF(N$148,IF(OR(BD!K81=0,BD!K81="-"),M81,BD!K81),"")</f>
        <v>0</v>
      </c>
      <c r="O81" s="12">
        <f>IF(O$148,IF(OR(BD!L81=0,BD!L81="-"),N81,BD!L81),"")</f>
        <v>0</v>
      </c>
      <c r="P81" s="12">
        <f>IF(P$148,IF(OR(BD!M81=0,BD!M81="-"),O81,BD!M81),"")</f>
        <v>0</v>
      </c>
      <c r="Q81" s="12">
        <f>IF(Q$148,IF(OR(BD!N81=0,BD!N81="-"),P81,BD!N81),"")</f>
        <v>0</v>
      </c>
      <c r="R81" s="12">
        <f>IF(R$148,IF(OR(BD!O81=0,BD!O81="-"),Q81,BD!O81),"")</f>
        <v>0</v>
      </c>
      <c r="S81" s="12">
        <f>IF(S$148,IF(OR(BD!P81=0,BD!P81="-"),R81,BD!P81),"")</f>
        <v>0</v>
      </c>
    </row>
    <row r="82" spans="1:19">
      <c r="A82" s="34" t="str">
        <f>BD!A82</f>
        <v>G. C. Post. do Br(mm) - p3</v>
      </c>
      <c r="B82" s="155" t="e">
        <f t="shared" ca="1" si="14"/>
        <v>#NAME?</v>
      </c>
      <c r="C82" s="150">
        <f t="shared" ca="1" si="15"/>
        <v>0</v>
      </c>
      <c r="D82" s="156" t="e">
        <f t="shared" ca="1" si="16"/>
        <v>#NAME?</v>
      </c>
      <c r="E82" s="12">
        <f>IF(E$2,IF(BD!B82="-",0,BD!B82+0),0)</f>
        <v>0</v>
      </c>
      <c r="F82" s="12">
        <f>IF(F$148,IF(OR(BD!C82=0,BD!C82="-"),E82,BD!C82),"")</f>
        <v>0</v>
      </c>
      <c r="G82" s="12">
        <f>IF(G$148,IF(OR(BD!D82=0,BD!D82="-"),F82,BD!D82),"")</f>
        <v>0</v>
      </c>
      <c r="H82" s="12">
        <f>IF(H$148,IF(OR(BD!E82=0,BD!E82="-"),G82,BD!E82),"")</f>
        <v>0</v>
      </c>
      <c r="I82" s="12">
        <f>IF(I$148,IF(OR(BD!F82=0,BD!F82="-"),H82,BD!F82),"")</f>
        <v>0</v>
      </c>
      <c r="J82" s="12">
        <f>IF(J$148,IF(OR(BD!G82=0,BD!G82="-"),I82,BD!G82),"")</f>
        <v>0</v>
      </c>
      <c r="K82" s="12">
        <f>IF(K$148,IF(OR(BD!H82=0,BD!H82="-"),J82,BD!H82),"")</f>
        <v>0</v>
      </c>
      <c r="L82" s="12">
        <f>IF(L$148,IF(OR(BD!I82=0,BD!I82="-"),K82,BD!I82),"")</f>
        <v>0</v>
      </c>
      <c r="M82" s="12">
        <f>IF(M$148,IF(OR(BD!J82=0,BD!J82="-"),L82,BD!J82),"")</f>
        <v>0</v>
      </c>
      <c r="N82" s="12">
        <f>IF(N$148,IF(OR(BD!K82=0,BD!K82="-"),M82,BD!K82),"")</f>
        <v>0</v>
      </c>
      <c r="O82" s="12">
        <f>IF(O$148,IF(OR(BD!L82=0,BD!L82="-"),N82,BD!L82),"")</f>
        <v>0</v>
      </c>
      <c r="P82" s="12">
        <f>IF(P$148,IF(OR(BD!M82=0,BD!M82="-"),O82,BD!M82),"")</f>
        <v>0</v>
      </c>
      <c r="Q82" s="12">
        <f>IF(Q$148,IF(OR(BD!N82=0,BD!N82="-"),P82,BD!N82),"")</f>
        <v>0</v>
      </c>
      <c r="R82" s="12">
        <f>IF(R$148,IF(OR(BD!O82=0,BD!O82="-"),Q82,BD!O82),"")</f>
        <v>0</v>
      </c>
      <c r="S82" s="12">
        <f>IF(S$148,IF(OR(BD!P82=0,BD!P82="-"),R82,BD!P82),"")</f>
        <v>0</v>
      </c>
    </row>
    <row r="83" spans="1:19">
      <c r="A83" s="34" t="str">
        <f>BD!A83</f>
        <v>G. C. Post. do Br(mm) - p4</v>
      </c>
      <c r="B83" s="155" t="e">
        <f t="shared" ca="1" si="14"/>
        <v>#NAME?</v>
      </c>
      <c r="C83" s="150">
        <f t="shared" ca="1" si="15"/>
        <v>0</v>
      </c>
      <c r="D83" s="156" t="e">
        <f t="shared" ca="1" si="16"/>
        <v>#NAME?</v>
      </c>
      <c r="E83" s="12">
        <f>IF(E$2,IF(BD!B83="-",0,BD!B83+0),0)</f>
        <v>0</v>
      </c>
      <c r="F83" s="12">
        <f>IF(F$148,IF(OR(BD!C83=0,BD!C83="-"),E83,BD!C83),"")</f>
        <v>0</v>
      </c>
      <c r="G83" s="12">
        <f>IF(G$148,IF(OR(BD!D83=0,BD!D83="-"),F83,BD!D83),"")</f>
        <v>0</v>
      </c>
      <c r="H83" s="12">
        <f>IF(H$148,IF(OR(BD!E83=0,BD!E83="-"),G83,BD!E83),"")</f>
        <v>0</v>
      </c>
      <c r="I83" s="12">
        <f>IF(I$148,IF(OR(BD!F83=0,BD!F83="-"),H83,BD!F83),"")</f>
        <v>0</v>
      </c>
      <c r="J83" s="12">
        <f>IF(J$148,IF(OR(BD!G83=0,BD!G83="-"),I83,BD!G83),"")</f>
        <v>0</v>
      </c>
      <c r="K83" s="12">
        <f>IF(K$148,IF(OR(BD!H83=0,BD!H83="-"),J83,BD!H83),"")</f>
        <v>0</v>
      </c>
      <c r="L83" s="12">
        <f>IF(L$148,IF(OR(BD!I83=0,BD!I83="-"),K83,BD!I83),"")</f>
        <v>0</v>
      </c>
      <c r="M83" s="12">
        <f>IF(M$148,IF(OR(BD!J83=0,BD!J83="-"),L83,BD!J83),"")</f>
        <v>0</v>
      </c>
      <c r="N83" s="12">
        <f>IF(N$148,IF(OR(BD!K83=0,BD!K83="-"),M83,BD!K83),"")</f>
        <v>0</v>
      </c>
      <c r="O83" s="12">
        <f>IF(O$148,IF(OR(BD!L83=0,BD!L83="-"),N83,BD!L83),"")</f>
        <v>0</v>
      </c>
      <c r="P83" s="12">
        <f>IF(P$148,IF(OR(BD!M83=0,BD!M83="-"),O83,BD!M83),"")</f>
        <v>0</v>
      </c>
      <c r="Q83" s="12">
        <f>IF(Q$148,IF(OR(BD!N83=0,BD!N83="-"),P83,BD!N83),"")</f>
        <v>0</v>
      </c>
      <c r="R83" s="12">
        <f>IF(R$148,IF(OR(BD!O83=0,BD!O83="-"),Q83,BD!O83),"")</f>
        <v>0</v>
      </c>
      <c r="S83" s="12">
        <f>IF(S$148,IF(OR(BD!P83=0,BD!P83="-"),R83,BD!P83),"")</f>
        <v>0</v>
      </c>
    </row>
    <row r="84" spans="1:19">
      <c r="A84" s="34" t="str">
        <f>BD!A84</f>
        <v>G. C. Post. do Br(mm) - p5</v>
      </c>
      <c r="B84" s="155" t="e">
        <f t="shared" ca="1" si="14"/>
        <v>#NAME?</v>
      </c>
      <c r="C84" s="150">
        <f t="shared" ca="1" si="15"/>
        <v>0</v>
      </c>
      <c r="D84" s="156" t="e">
        <f t="shared" ca="1" si="16"/>
        <v>#NAME?</v>
      </c>
      <c r="E84" s="12">
        <f>IF(E$2,IF(BD!B84="-",0,BD!B84+0),0)</f>
        <v>0</v>
      </c>
      <c r="F84" s="12">
        <f>IF(F$148,IF(OR(BD!C84=0,BD!C84="-"),E84,BD!C84),"")</f>
        <v>0</v>
      </c>
      <c r="G84" s="12">
        <f>IF(G$148,IF(OR(BD!D84=0,BD!D84="-"),F84,BD!D84),"")</f>
        <v>0</v>
      </c>
      <c r="H84" s="12">
        <f>IF(H$148,IF(OR(BD!E84=0,BD!E84="-"),G84,BD!E84),"")</f>
        <v>0</v>
      </c>
      <c r="I84" s="12">
        <f>IF(I$148,IF(OR(BD!F84=0,BD!F84="-"),H84,BD!F84),"")</f>
        <v>0</v>
      </c>
      <c r="J84" s="12">
        <f>IF(J$148,IF(OR(BD!G84=0,BD!G84="-"),I84,BD!G84),"")</f>
        <v>0</v>
      </c>
      <c r="K84" s="12">
        <f>IF(K$148,IF(OR(BD!H84=0,BD!H84="-"),J84,BD!H84),"")</f>
        <v>0</v>
      </c>
      <c r="L84" s="12">
        <f>IF(L$148,IF(OR(BD!I84=0,BD!I84="-"),K84,BD!I84),"")</f>
        <v>0</v>
      </c>
      <c r="M84" s="12">
        <f>IF(M$148,IF(OR(BD!J84=0,BD!J84="-"),L84,BD!J84),"")</f>
        <v>0</v>
      </c>
      <c r="N84" s="12">
        <f>IF(N$148,IF(OR(BD!K84=0,BD!K84="-"),M84,BD!K84),"")</f>
        <v>0</v>
      </c>
      <c r="O84" s="12">
        <f>IF(O$148,IF(OR(BD!L84=0,BD!L84="-"),N84,BD!L84),"")</f>
        <v>0</v>
      </c>
      <c r="P84" s="12">
        <f>IF(P$148,IF(OR(BD!M84=0,BD!M84="-"),O84,BD!M84),"")</f>
        <v>0</v>
      </c>
      <c r="Q84" s="12">
        <f>IF(Q$148,IF(OR(BD!N84=0,BD!N84="-"),P84,BD!N84),"")</f>
        <v>0</v>
      </c>
      <c r="R84" s="12">
        <f>IF(R$148,IF(OR(BD!O84=0,BD!O84="-"),Q84,BD!O84),"")</f>
        <v>0</v>
      </c>
      <c r="S84" s="12">
        <f>IF(S$148,IF(OR(BD!P84=0,BD!P84="-"),R84,BD!P84),"")</f>
        <v>0</v>
      </c>
    </row>
    <row r="85" spans="1:19">
      <c r="A85" s="34" t="str">
        <f>BD!A85</f>
        <v>G. C. Post. do Br(mm) - p6</v>
      </c>
      <c r="B85" s="155" t="e">
        <f t="shared" ca="1" si="14"/>
        <v>#NAME?</v>
      </c>
      <c r="C85" s="150">
        <f t="shared" ca="1" si="15"/>
        <v>0</v>
      </c>
      <c r="D85" s="156" t="e">
        <f t="shared" ca="1" si="16"/>
        <v>#NAME?</v>
      </c>
      <c r="E85" s="12">
        <f>IF(E$2,IF(BD!B85="-",0,BD!B85+0),0)</f>
        <v>0</v>
      </c>
      <c r="F85" s="12">
        <f>IF(F$148,IF(OR(BD!C85=0,BD!C85="-"),E85,BD!C85),"")</f>
        <v>0</v>
      </c>
      <c r="G85" s="12">
        <f>IF(G$148,IF(OR(BD!D85=0,BD!D85="-"),F85,BD!D85),"")</f>
        <v>0</v>
      </c>
      <c r="H85" s="12">
        <f>IF(H$148,IF(OR(BD!E85=0,BD!E85="-"),G85,BD!E85),"")</f>
        <v>0</v>
      </c>
      <c r="I85" s="12">
        <f>IF(I$148,IF(OR(BD!F85=0,BD!F85="-"),H85,BD!F85),"")</f>
        <v>0</v>
      </c>
      <c r="J85" s="12">
        <f>IF(J$148,IF(OR(BD!G85=0,BD!G85="-"),I85,BD!G85),"")</f>
        <v>0</v>
      </c>
      <c r="K85" s="12">
        <f>IF(K$148,IF(OR(BD!H85=0,BD!H85="-"),J85,BD!H85),"")</f>
        <v>0</v>
      </c>
      <c r="L85" s="12">
        <f>IF(L$148,IF(OR(BD!I85=0,BD!I85="-"),K85,BD!I85),"")</f>
        <v>0</v>
      </c>
      <c r="M85" s="12">
        <f>IF(M$148,IF(OR(BD!J85=0,BD!J85="-"),L85,BD!J85),"")</f>
        <v>0</v>
      </c>
      <c r="N85" s="12">
        <f>IF(N$148,IF(OR(BD!K85=0,BD!K85="-"),M85,BD!K85),"")</f>
        <v>0</v>
      </c>
      <c r="O85" s="12">
        <f>IF(O$148,IF(OR(BD!L85=0,BD!L85="-"),N85,BD!L85),"")</f>
        <v>0</v>
      </c>
      <c r="P85" s="12">
        <f>IF(P$148,IF(OR(BD!M85=0,BD!M85="-"),O85,BD!M85),"")</f>
        <v>0</v>
      </c>
      <c r="Q85" s="12">
        <f>IF(Q$148,IF(OR(BD!N85=0,BD!N85="-"),P85,BD!N85),"")</f>
        <v>0</v>
      </c>
      <c r="R85" s="12">
        <f>IF(R$148,IF(OR(BD!O85=0,BD!O85="-"),Q85,BD!O85),"")</f>
        <v>0</v>
      </c>
      <c r="S85" s="12">
        <f>IF(S$148,IF(OR(BD!P85=0,BD!P85="-"),R85,BD!P85),"")</f>
        <v>0</v>
      </c>
    </row>
    <row r="86" spans="1:19">
      <c r="A86" s="34" t="str">
        <f>BD!A86</f>
        <v>G. C. Post. do Br(mm) - p7</v>
      </c>
      <c r="B86" s="155" t="e">
        <f t="shared" ca="1" si="14"/>
        <v>#NAME?</v>
      </c>
      <c r="C86" s="150">
        <f t="shared" ca="1" si="15"/>
        <v>0</v>
      </c>
      <c r="D86" s="156" t="e">
        <f t="shared" ca="1" si="16"/>
        <v>#NAME?</v>
      </c>
      <c r="E86" s="12">
        <f>IF(E$2,IF(BD!B86="-",0,BD!B86+0),0)</f>
        <v>0</v>
      </c>
      <c r="F86" s="12">
        <f>IF(F$148,IF(OR(BD!C86=0,BD!C86="-"),E86,BD!C86),"")</f>
        <v>0</v>
      </c>
      <c r="G86" s="12">
        <f>IF(G$148,IF(OR(BD!D86=0,BD!D86="-"),F86,BD!D86),"")</f>
        <v>0</v>
      </c>
      <c r="H86" s="12">
        <f>IF(H$148,IF(OR(BD!E86=0,BD!E86="-"),G86,BD!E86),"")</f>
        <v>0</v>
      </c>
      <c r="I86" s="12">
        <f>IF(I$148,IF(OR(BD!F86=0,BD!F86="-"),H86,BD!F86),"")</f>
        <v>0</v>
      </c>
      <c r="J86" s="12">
        <f>IF(J$148,IF(OR(BD!G86=0,BD!G86="-"),I86,BD!G86),"")</f>
        <v>0</v>
      </c>
      <c r="K86" s="12">
        <f>IF(K$148,IF(OR(BD!H86=0,BD!H86="-"),J86,BD!H86),"")</f>
        <v>0</v>
      </c>
      <c r="L86" s="12">
        <f>IF(L$148,IF(OR(BD!I86=0,BD!I86="-"),K86,BD!I86),"")</f>
        <v>0</v>
      </c>
      <c r="M86" s="12">
        <f>IF(M$148,IF(OR(BD!J86=0,BD!J86="-"),L86,BD!J86),"")</f>
        <v>0</v>
      </c>
      <c r="N86" s="12">
        <f>IF(N$148,IF(OR(BD!K86=0,BD!K86="-"),M86,BD!K86),"")</f>
        <v>0</v>
      </c>
      <c r="O86" s="12">
        <f>IF(O$148,IF(OR(BD!L86=0,BD!L86="-"),N86,BD!L86),"")</f>
        <v>0</v>
      </c>
      <c r="P86" s="12">
        <f>IF(P$148,IF(OR(BD!M86=0,BD!M86="-"),O86,BD!M86),"")</f>
        <v>0</v>
      </c>
      <c r="Q86" s="12">
        <f>IF(Q$148,IF(OR(BD!N86=0,BD!N86="-"),P86,BD!N86),"")</f>
        <v>0</v>
      </c>
      <c r="R86" s="12">
        <f>IF(R$148,IF(OR(BD!O86=0,BD!O86="-"),Q86,BD!O86),"")</f>
        <v>0</v>
      </c>
      <c r="S86" s="12">
        <f>IF(S$148,IF(OR(BD!P86=0,BD!P86="-"),R86,BD!P86),"")</f>
        <v>0</v>
      </c>
    </row>
    <row r="87" spans="1:19">
      <c r="A87" s="34" t="str">
        <f>BD!A87</f>
        <v>G. C. Post. do Br(mm) - p8</v>
      </c>
      <c r="B87" s="155" t="e">
        <f t="shared" ca="1" si="14"/>
        <v>#NAME?</v>
      </c>
      <c r="C87" s="150">
        <f t="shared" ca="1" si="15"/>
        <v>0</v>
      </c>
      <c r="D87" s="156" t="e">
        <f t="shared" ca="1" si="16"/>
        <v>#NAME?</v>
      </c>
      <c r="E87" s="12">
        <f>IF(E$2,IF(BD!B87="-",0,BD!B87+0),0)</f>
        <v>0</v>
      </c>
      <c r="F87" s="12">
        <f>IF(F$148,IF(OR(BD!C87=0,BD!C87="-"),E87,BD!C87),"")</f>
        <v>0</v>
      </c>
      <c r="G87" s="12">
        <f>IF(G$148,IF(OR(BD!D87=0,BD!D87="-"),F87,BD!D87),"")</f>
        <v>0</v>
      </c>
      <c r="H87" s="12">
        <f>IF(H$148,IF(OR(BD!E87=0,BD!E87="-"),G87,BD!E87),"")</f>
        <v>0</v>
      </c>
      <c r="I87" s="12">
        <f>IF(I$148,IF(OR(BD!F87=0,BD!F87="-"),H87,BD!F87),"")</f>
        <v>0</v>
      </c>
      <c r="J87" s="12">
        <f>IF(J$148,IF(OR(BD!G87=0,BD!G87="-"),I87,BD!G87),"")</f>
        <v>0</v>
      </c>
      <c r="K87" s="12">
        <f>IF(K$148,IF(OR(BD!H87=0,BD!H87="-"),J87,BD!H87),"")</f>
        <v>0</v>
      </c>
      <c r="L87" s="12">
        <f>IF(L$148,IF(OR(BD!I87=0,BD!I87="-"),K87,BD!I87),"")</f>
        <v>0</v>
      </c>
      <c r="M87" s="12">
        <f>IF(M$148,IF(OR(BD!J87=0,BD!J87="-"),L87,BD!J87),"")</f>
        <v>0</v>
      </c>
      <c r="N87" s="12">
        <f>IF(N$148,IF(OR(BD!K87=0,BD!K87="-"),M87,BD!K87),"")</f>
        <v>0</v>
      </c>
      <c r="O87" s="12">
        <f>IF(O$148,IF(OR(BD!L87=0,BD!L87="-"),N87,BD!L87),"")</f>
        <v>0</v>
      </c>
      <c r="P87" s="12">
        <f>IF(P$148,IF(OR(BD!M87=0,BD!M87="-"),O87,BD!M87),"")</f>
        <v>0</v>
      </c>
      <c r="Q87" s="12">
        <f>IF(Q$148,IF(OR(BD!N87=0,BD!N87="-"),P87,BD!N87),"")</f>
        <v>0</v>
      </c>
      <c r="R87" s="12">
        <f>IF(R$148,IF(OR(BD!O87=0,BD!O87="-"),Q87,BD!O87),"")</f>
        <v>0</v>
      </c>
      <c r="S87" s="12">
        <f>IF(S$148,IF(OR(BD!P87=0,BD!P87="-"),R87,BD!P87),"")</f>
        <v>0</v>
      </c>
    </row>
    <row r="88" spans="1:19">
      <c r="A88" s="34" t="str">
        <f>BD!A88</f>
        <v>G. C. Post. do Br(mm) - p9</v>
      </c>
      <c r="B88" s="155" t="e">
        <f t="shared" ca="1" si="14"/>
        <v>#NAME?</v>
      </c>
      <c r="C88" s="150">
        <f t="shared" ca="1" si="15"/>
        <v>0</v>
      </c>
      <c r="D88" s="156" t="e">
        <f t="shared" ca="1" si="16"/>
        <v>#NAME?</v>
      </c>
      <c r="E88" s="12">
        <f>IF(E$2,IF(BD!B88="-",0,BD!B88+0),0)</f>
        <v>0</v>
      </c>
      <c r="F88" s="12">
        <f>IF(F$148,IF(OR(BD!C88=0,BD!C88="-"),E88,BD!C88),"")</f>
        <v>0</v>
      </c>
      <c r="G88" s="12">
        <f>IF(G$148,IF(OR(BD!D88=0,BD!D88="-"),F88,BD!D88),"")</f>
        <v>0</v>
      </c>
      <c r="H88" s="12">
        <f>IF(H$148,IF(OR(BD!E88=0,BD!E88="-"),G88,BD!E88),"")</f>
        <v>0</v>
      </c>
      <c r="I88" s="12">
        <f>IF(I$148,IF(OR(BD!F88=0,BD!F88="-"),H88,BD!F88),"")</f>
        <v>0</v>
      </c>
      <c r="J88" s="12">
        <f>IF(J$148,IF(OR(BD!G88=0,BD!G88="-"),I88,BD!G88),"")</f>
        <v>0</v>
      </c>
      <c r="K88" s="12">
        <f>IF(K$148,IF(OR(BD!H88=0,BD!H88="-"),J88,BD!H88),"")</f>
        <v>0</v>
      </c>
      <c r="L88" s="12">
        <f>IF(L$148,IF(OR(BD!I88=0,BD!I88="-"),K88,BD!I88),"")</f>
        <v>0</v>
      </c>
      <c r="M88" s="12">
        <f>IF(M$148,IF(OR(BD!J88=0,BD!J88="-"),L88,BD!J88),"")</f>
        <v>0</v>
      </c>
      <c r="N88" s="12">
        <f>IF(N$148,IF(OR(BD!K88=0,BD!K88="-"),M88,BD!K88),"")</f>
        <v>0</v>
      </c>
      <c r="O88" s="12">
        <f>IF(O$148,IF(OR(BD!L88=0,BD!L88="-"),N88,BD!L88),"")</f>
        <v>0</v>
      </c>
      <c r="P88" s="12">
        <f>IF(P$148,IF(OR(BD!M88=0,BD!M88="-"),O88,BD!M88),"")</f>
        <v>0</v>
      </c>
      <c r="Q88" s="12">
        <f>IF(Q$148,IF(OR(BD!N88=0,BD!N88="-"),P88,BD!N88),"")</f>
        <v>0</v>
      </c>
      <c r="R88" s="12">
        <f>IF(R$148,IF(OR(BD!O88=0,BD!O88="-"),Q88,BD!O88),"")</f>
        <v>0</v>
      </c>
      <c r="S88" s="12">
        <f>IF(S$148,IF(OR(BD!P88=0,BD!P88="-"),R88,BD!P88),"")</f>
        <v>0</v>
      </c>
    </row>
    <row r="89" spans="1:19">
      <c r="A89" s="34" t="str">
        <f>BD!A89</f>
        <v>Compartimento Posterior do Braço(mm)</v>
      </c>
      <c r="B89" s="155" t="e">
        <f t="shared" ca="1" si="14"/>
        <v>#NAME?</v>
      </c>
      <c r="C89" s="155">
        <f t="shared" ca="1" si="15"/>
        <v>2</v>
      </c>
      <c r="D89" s="156" t="e">
        <f t="shared" ca="1" si="16"/>
        <v>#NAME?</v>
      </c>
      <c r="E89" s="147">
        <f>IF(E$2,IF(BD!B89="-",0,BD!B89+0),0)</f>
        <v>5.4</v>
      </c>
      <c r="F89" s="147">
        <f>IF(F$148,IF(OR(BD!C89=0,BD!C89="-"),E89,BD!C89),"")</f>
        <v>6.3</v>
      </c>
      <c r="G89" s="147">
        <f>IF(G$148,IF(OR(BD!D89=0,BD!D89="-"),F89,BD!D89),"")</f>
        <v>4</v>
      </c>
      <c r="H89" s="147">
        <f>IF(H$148,IF(OR(BD!E89=0,BD!E89="-"),G89,BD!E89),"")</f>
        <v>4.3</v>
      </c>
      <c r="I89" s="147">
        <f>IF(I$148,IF(OR(BD!F89=0,BD!F89="-"),H89,BD!F89),"")</f>
        <v>4</v>
      </c>
      <c r="J89" s="147">
        <f>IF(J$148,IF(OR(BD!G89=0,BD!G89="-"),I89,BD!G89),"")</f>
        <v>4</v>
      </c>
      <c r="K89" s="147">
        <f>IF(K$148,IF(OR(BD!H89=0,BD!H89="-"),J89,BD!H89),"")</f>
        <v>1.8</v>
      </c>
      <c r="L89" s="147">
        <f>IF(L$148,IF(OR(BD!I89=0,BD!I89="-"),K89,BD!I89),"")</f>
        <v>3.2</v>
      </c>
      <c r="M89" s="147">
        <f>IF(M$148,IF(OR(BD!J89=0,BD!J89="-"),L89,BD!J89),"")</f>
        <v>3.2</v>
      </c>
      <c r="N89" s="147">
        <f>IF(N$148,IF(OR(BD!K89=0,BD!K89="-"),M89,BD!K89),"")</f>
        <v>2</v>
      </c>
      <c r="O89" s="147">
        <f>IF(O$148,IF(OR(BD!L89=0,BD!L89="-"),N89,BD!L89),"")</f>
        <v>2</v>
      </c>
      <c r="P89" s="147">
        <f>IF(P$148,IF(OR(BD!M89=0,BD!M89="-"),O89,BD!M89),"")</f>
        <v>2</v>
      </c>
      <c r="Q89" s="12">
        <f>IF(Q$148,IF(OR(BD!N89=0,BD!N89="-"),P89,BD!N89),"")</f>
        <v>2</v>
      </c>
      <c r="R89" s="12">
        <f>IF(R$148,IF(OR(BD!O89=0,BD!O89="-"),Q89,BD!O89),"")</f>
        <v>2</v>
      </c>
      <c r="S89" s="12">
        <f>IF(S$148,IF(OR(BD!P89=0,BD!P89="-"),R89,BD!P89),"")</f>
        <v>2</v>
      </c>
    </row>
    <row r="90" spans="1:19">
      <c r="A90" s="34" t="str">
        <f>BD!A90</f>
        <v>G. C. Ant. da Coxa(mm) - p1</v>
      </c>
      <c r="B90" s="155" t="e">
        <f t="shared" ca="1" si="14"/>
        <v>#NAME?</v>
      </c>
      <c r="C90" s="155">
        <f t="shared" ca="1" si="15"/>
        <v>3.6</v>
      </c>
      <c r="D90" s="156" t="e">
        <f t="shared" ca="1" si="16"/>
        <v>#NAME?</v>
      </c>
      <c r="E90" s="147">
        <f>IF(E$2,IF(BD!B90="-",0,BD!B90+0),0)</f>
        <v>5.8</v>
      </c>
      <c r="F90" s="147">
        <f>IF(F$148,IF(OR(BD!C90=0,BD!C90="-"),E90,BD!C90),"")</f>
        <v>5.5</v>
      </c>
      <c r="G90" s="147">
        <f>IF(G$148,IF(OR(BD!D90=0,BD!D90="-"),F90,BD!D90),"")</f>
        <v>4.2</v>
      </c>
      <c r="H90" s="147">
        <f>IF(H$148,IF(OR(BD!E90=0,BD!E90="-"),G90,BD!E90),"")</f>
        <v>3.6</v>
      </c>
      <c r="I90" s="147">
        <f>IF(I$148,IF(OR(BD!F90=0,BD!F90="-"),H90,BD!F90),"")</f>
        <v>3.6</v>
      </c>
      <c r="J90" s="147">
        <f>IF(J$148,IF(OR(BD!G90=0,BD!G90="-"),I90,BD!G90),"")</f>
        <v>3.6</v>
      </c>
      <c r="K90" s="147">
        <f>IF(K$148,IF(OR(BD!H90=0,BD!H90="-"),J90,BD!H90),"")</f>
        <v>3.6</v>
      </c>
      <c r="L90" s="147">
        <f>IF(L$148,IF(OR(BD!I90=0,BD!I90="-"),K90,BD!I90),"")</f>
        <v>3.9</v>
      </c>
      <c r="M90" s="147">
        <f>IF(M$148,IF(OR(BD!J90=0,BD!J90="-"),L90,BD!J90),"")</f>
        <v>3.9</v>
      </c>
      <c r="N90" s="147">
        <f>IF(N$148,IF(OR(BD!K90=0,BD!K90="-"),M90,BD!K90),"")</f>
        <v>3.6</v>
      </c>
      <c r="O90" s="147">
        <f>IF(O$148,IF(OR(BD!L90=0,BD!L90="-"),N90,BD!L90),"")</f>
        <v>3.6</v>
      </c>
      <c r="P90" s="147">
        <f>IF(P$148,IF(OR(BD!M90=0,BD!M90="-"),O90,BD!M90),"")</f>
        <v>3.6</v>
      </c>
      <c r="Q90" s="12">
        <f>IF(Q$148,IF(OR(BD!N90=0,BD!N90="-"),P90,BD!N90),"")</f>
        <v>3.6</v>
      </c>
      <c r="R90" s="12">
        <f>IF(R$148,IF(OR(BD!O90=0,BD!O90="-"),Q90,BD!O90),"")</f>
        <v>3.6</v>
      </c>
      <c r="S90" s="12">
        <f>IF(S$148,IF(OR(BD!P90=0,BD!P90="-"),R90,BD!P90),"")</f>
        <v>3.6</v>
      </c>
    </row>
    <row r="91" spans="1:19">
      <c r="A91" s="34" t="str">
        <f>BD!A91</f>
        <v>G. C. Ant. da Coxa(mm) - p2</v>
      </c>
      <c r="B91" s="155" t="e">
        <f t="shared" ca="1" si="14"/>
        <v>#NAME?</v>
      </c>
      <c r="C91" s="150">
        <f t="shared" ca="1" si="15"/>
        <v>0</v>
      </c>
      <c r="D91" s="156" t="e">
        <f t="shared" ca="1" si="16"/>
        <v>#NAME?</v>
      </c>
      <c r="E91" s="12">
        <f>IF(E$2,IF(BD!B91="-",0,BD!B91+0),0)</f>
        <v>0</v>
      </c>
      <c r="F91" s="12">
        <f>IF(F$148,IF(OR(BD!C91=0,BD!C91="-"),E91,BD!C91),"")</f>
        <v>0</v>
      </c>
      <c r="G91" s="12">
        <f>IF(G$148,IF(OR(BD!D91=0,BD!D91="-"),F91,BD!D91),"")</f>
        <v>0</v>
      </c>
      <c r="H91" s="12">
        <f>IF(H$148,IF(OR(BD!E91=0,BD!E91="-"),G91,BD!E91),"")</f>
        <v>0</v>
      </c>
      <c r="I91" s="12">
        <f>IF(I$148,IF(OR(BD!F91=0,BD!F91="-"),H91,BD!F91),"")</f>
        <v>0</v>
      </c>
      <c r="J91" s="12">
        <f>IF(J$148,IF(OR(BD!G91=0,BD!G91="-"),I91,BD!G91),"")</f>
        <v>0</v>
      </c>
      <c r="K91" s="12">
        <f>IF(K$148,IF(OR(BD!H91=0,BD!H91="-"),J91,BD!H91),"")</f>
        <v>0</v>
      </c>
      <c r="L91" s="12">
        <f>IF(L$148,IF(OR(BD!I91=0,BD!I91="-"),K91,BD!I91),"")</f>
        <v>0</v>
      </c>
      <c r="M91" s="12">
        <f>IF(M$148,IF(OR(BD!J91=0,BD!J91="-"),L91,BD!J91),"")</f>
        <v>0</v>
      </c>
      <c r="N91" s="12">
        <f>IF(N$148,IF(OR(BD!K91=0,BD!K91="-"),M91,BD!K91),"")</f>
        <v>0</v>
      </c>
      <c r="O91" s="12">
        <f>IF(O$148,IF(OR(BD!L91=0,BD!L91="-"),N91,BD!L91),"")</f>
        <v>0</v>
      </c>
      <c r="P91" s="12">
        <f>IF(P$148,IF(OR(BD!M91=0,BD!M91="-"),O91,BD!M91),"")</f>
        <v>0</v>
      </c>
      <c r="Q91" s="12">
        <f>IF(Q$148,IF(OR(BD!N91=0,BD!N91="-"),P91,BD!N91),"")</f>
        <v>0</v>
      </c>
      <c r="R91" s="12">
        <f>IF(R$148,IF(OR(BD!O91=0,BD!O91="-"),Q91,BD!O91),"")</f>
        <v>0</v>
      </c>
      <c r="S91" s="12">
        <f>IF(S$148,IF(OR(BD!P91=0,BD!P91="-"),R91,BD!P91),"")</f>
        <v>0</v>
      </c>
    </row>
    <row r="92" spans="1:19">
      <c r="A92" s="34" t="str">
        <f>BD!A92</f>
        <v>G. C. Ant. da Coxa(mm) - p3</v>
      </c>
      <c r="B92" s="155" t="e">
        <f t="shared" ca="1" si="14"/>
        <v>#NAME?</v>
      </c>
      <c r="C92" s="150">
        <f t="shared" ca="1" si="15"/>
        <v>0</v>
      </c>
      <c r="D92" s="156" t="e">
        <f t="shared" ca="1" si="16"/>
        <v>#NAME?</v>
      </c>
      <c r="E92" s="12">
        <f>IF(E$2,IF(BD!B92="-",0,BD!B92+0),0)</f>
        <v>0</v>
      </c>
      <c r="F92" s="12">
        <f>IF(F$148,IF(OR(BD!C92=0,BD!C92="-"),E92,BD!C92),"")</f>
        <v>0</v>
      </c>
      <c r="G92" s="12">
        <f>IF(G$148,IF(OR(BD!D92=0,BD!D92="-"),F92,BD!D92),"")</f>
        <v>0</v>
      </c>
      <c r="H92" s="12">
        <f>IF(H$148,IF(OR(BD!E92=0,BD!E92="-"),G92,BD!E92),"")</f>
        <v>0</v>
      </c>
      <c r="I92" s="12">
        <f>IF(I$148,IF(OR(BD!F92=0,BD!F92="-"),H92,BD!F92),"")</f>
        <v>0</v>
      </c>
      <c r="J92" s="12">
        <f>IF(J$148,IF(OR(BD!G92=0,BD!G92="-"),I92,BD!G92),"")</f>
        <v>0</v>
      </c>
      <c r="K92" s="12">
        <f>IF(K$148,IF(OR(BD!H92=0,BD!H92="-"),J92,BD!H92),"")</f>
        <v>0</v>
      </c>
      <c r="L92" s="12">
        <f>IF(L$148,IF(OR(BD!I92=0,BD!I92="-"),K92,BD!I92),"")</f>
        <v>0</v>
      </c>
      <c r="M92" s="12">
        <f>IF(M$148,IF(OR(BD!J92=0,BD!J92="-"),L92,BD!J92),"")</f>
        <v>0</v>
      </c>
      <c r="N92" s="12">
        <f>IF(N$148,IF(OR(BD!K92=0,BD!K92="-"),M92,BD!K92),"")</f>
        <v>0</v>
      </c>
      <c r="O92" s="12">
        <f>IF(O$148,IF(OR(BD!L92=0,BD!L92="-"),N92,BD!L92),"")</f>
        <v>0</v>
      </c>
      <c r="P92" s="12">
        <f>IF(P$148,IF(OR(BD!M92=0,BD!M92="-"),O92,BD!M92),"")</f>
        <v>0</v>
      </c>
      <c r="Q92" s="12">
        <f>IF(Q$148,IF(OR(BD!N92=0,BD!N92="-"),P92,BD!N92),"")</f>
        <v>0</v>
      </c>
      <c r="R92" s="12">
        <f>IF(R$148,IF(OR(BD!O92=0,BD!O92="-"),Q92,BD!O92),"")</f>
        <v>0</v>
      </c>
      <c r="S92" s="12">
        <f>IF(S$148,IF(OR(BD!P92=0,BD!P92="-"),R92,BD!P92),"")</f>
        <v>0</v>
      </c>
    </row>
    <row r="93" spans="1:19">
      <c r="A93" s="34" t="str">
        <f>BD!A93</f>
        <v>G. C. Ant. da Coxa(mm) - p4</v>
      </c>
      <c r="B93" s="155" t="e">
        <f t="shared" ca="1" si="14"/>
        <v>#NAME?</v>
      </c>
      <c r="C93" s="150">
        <f t="shared" ca="1" si="15"/>
        <v>0</v>
      </c>
      <c r="D93" s="156" t="e">
        <f t="shared" ca="1" si="16"/>
        <v>#NAME?</v>
      </c>
      <c r="E93" s="12">
        <f>IF(E$2,IF(BD!B93="-",0,BD!B93+0),0)</f>
        <v>0</v>
      </c>
      <c r="F93" s="12">
        <f>IF(F$148,IF(OR(BD!C93=0,BD!C93="-"),E93,BD!C93),"")</f>
        <v>0</v>
      </c>
      <c r="G93" s="12">
        <f>IF(G$148,IF(OR(BD!D93=0,BD!D93="-"),F93,BD!D93),"")</f>
        <v>0</v>
      </c>
      <c r="H93" s="12">
        <f>IF(H$148,IF(OR(BD!E93=0,BD!E93="-"),G93,BD!E93),"")</f>
        <v>0</v>
      </c>
      <c r="I93" s="12">
        <f>IF(I$148,IF(OR(BD!F93=0,BD!F93="-"),H93,BD!F93),"")</f>
        <v>0</v>
      </c>
      <c r="J93" s="12">
        <f>IF(J$148,IF(OR(BD!G93=0,BD!G93="-"),I93,BD!G93),"")</f>
        <v>0</v>
      </c>
      <c r="K93" s="12">
        <f>IF(K$148,IF(OR(BD!H93=0,BD!H93="-"),J93,BD!H93),"")</f>
        <v>0</v>
      </c>
      <c r="L93" s="12">
        <f>IF(L$148,IF(OR(BD!I93=0,BD!I93="-"),K93,BD!I93),"")</f>
        <v>0</v>
      </c>
      <c r="M93" s="12">
        <f>IF(M$148,IF(OR(BD!J93=0,BD!J93="-"),L93,BD!J93),"")</f>
        <v>0</v>
      </c>
      <c r="N93" s="12">
        <f>IF(N$148,IF(OR(BD!K93=0,BD!K93="-"),M93,BD!K93),"")</f>
        <v>0</v>
      </c>
      <c r="O93" s="12">
        <f>IF(O$148,IF(OR(BD!L93=0,BD!L93="-"),N93,BD!L93),"")</f>
        <v>0</v>
      </c>
      <c r="P93" s="12">
        <f>IF(P$148,IF(OR(BD!M93=0,BD!M93="-"),O93,BD!M93),"")</f>
        <v>0</v>
      </c>
      <c r="Q93" s="12">
        <f>IF(Q$148,IF(OR(BD!N93=0,BD!N93="-"),P93,BD!N93),"")</f>
        <v>0</v>
      </c>
      <c r="R93" s="12">
        <f>IF(R$148,IF(OR(BD!O93=0,BD!O93="-"),Q93,BD!O93),"")</f>
        <v>0</v>
      </c>
      <c r="S93" s="12">
        <f>IF(S$148,IF(OR(BD!P93=0,BD!P93="-"),R93,BD!P93),"")</f>
        <v>0</v>
      </c>
    </row>
    <row r="94" spans="1:19">
      <c r="A94" s="34" t="str">
        <f>BD!A94</f>
        <v>G. C. Ant. da Coxa(mm) - p5</v>
      </c>
      <c r="B94" s="155" t="e">
        <f t="shared" ca="1" si="14"/>
        <v>#NAME?</v>
      </c>
      <c r="C94" s="150">
        <f t="shared" ca="1" si="15"/>
        <v>0</v>
      </c>
      <c r="D94" s="156" t="e">
        <f t="shared" ca="1" si="16"/>
        <v>#NAME?</v>
      </c>
      <c r="E94" s="12">
        <f>IF(E$2,IF(BD!B94="-",0,BD!B94+0),0)</f>
        <v>0</v>
      </c>
      <c r="F94" s="12">
        <f>IF(F$148,IF(OR(BD!C94=0,BD!C94="-"),E94,BD!C94),"")</f>
        <v>0</v>
      </c>
      <c r="G94" s="12">
        <f>IF(G$148,IF(OR(BD!D94=0,BD!D94="-"),F94,BD!D94),"")</f>
        <v>0</v>
      </c>
      <c r="H94" s="12">
        <f>IF(H$148,IF(OR(BD!E94=0,BD!E94="-"),G94,BD!E94),"")</f>
        <v>0</v>
      </c>
      <c r="I94" s="12">
        <f>IF(I$148,IF(OR(BD!F94=0,BD!F94="-"),H94,BD!F94),"")</f>
        <v>0</v>
      </c>
      <c r="J94" s="12">
        <f>IF(J$148,IF(OR(BD!G94=0,BD!G94="-"),I94,BD!G94),"")</f>
        <v>0</v>
      </c>
      <c r="K94" s="12">
        <f>IF(K$148,IF(OR(BD!H94=0,BD!H94="-"),J94,BD!H94),"")</f>
        <v>0</v>
      </c>
      <c r="L94" s="12">
        <f>IF(L$148,IF(OR(BD!I94=0,BD!I94="-"),K94,BD!I94),"")</f>
        <v>0</v>
      </c>
      <c r="M94" s="12">
        <f>IF(M$148,IF(OR(BD!J94=0,BD!J94="-"),L94,BD!J94),"")</f>
        <v>0</v>
      </c>
      <c r="N94" s="12">
        <f>IF(N$148,IF(OR(BD!K94=0,BD!K94="-"),M94,BD!K94),"")</f>
        <v>0</v>
      </c>
      <c r="O94" s="12">
        <f>IF(O$148,IF(OR(BD!L94=0,BD!L94="-"),N94,BD!L94),"")</f>
        <v>0</v>
      </c>
      <c r="P94" s="12">
        <f>IF(P$148,IF(OR(BD!M94=0,BD!M94="-"),O94,BD!M94),"")</f>
        <v>0</v>
      </c>
      <c r="Q94" s="12">
        <f>IF(Q$148,IF(OR(BD!N94=0,BD!N94="-"),P94,BD!N94),"")</f>
        <v>0</v>
      </c>
      <c r="R94" s="12">
        <f>IF(R$148,IF(OR(BD!O94=0,BD!O94="-"),Q94,BD!O94),"")</f>
        <v>0</v>
      </c>
      <c r="S94" s="12">
        <f>IF(S$148,IF(OR(BD!P94=0,BD!P94="-"),R94,BD!P94),"")</f>
        <v>0</v>
      </c>
    </row>
    <row r="95" spans="1:19">
      <c r="A95" s="34" t="str">
        <f>BD!A95</f>
        <v>G. C. Ant. da Coxa(mm) - p6</v>
      </c>
      <c r="B95" s="155" t="e">
        <f t="shared" ca="1" si="14"/>
        <v>#NAME?</v>
      </c>
      <c r="C95" s="150">
        <f t="shared" ca="1" si="15"/>
        <v>0</v>
      </c>
      <c r="D95" s="156" t="e">
        <f t="shared" ca="1" si="16"/>
        <v>#NAME?</v>
      </c>
      <c r="E95" s="12">
        <f>IF(E$2,IF(BD!B95="-",0,BD!B95+0),0)</f>
        <v>0</v>
      </c>
      <c r="F95" s="12">
        <f>IF(F$148,IF(OR(BD!C95=0,BD!C95="-"),E95,BD!C95),"")</f>
        <v>0</v>
      </c>
      <c r="G95" s="12">
        <f>IF(G$148,IF(OR(BD!D95=0,BD!D95="-"),F95,BD!D95),"")</f>
        <v>0</v>
      </c>
      <c r="H95" s="12">
        <f>IF(H$148,IF(OR(BD!E95=0,BD!E95="-"),G95,BD!E95),"")</f>
        <v>0</v>
      </c>
      <c r="I95" s="12">
        <f>IF(I$148,IF(OR(BD!F95=0,BD!F95="-"),H95,BD!F95),"")</f>
        <v>0</v>
      </c>
      <c r="J95" s="12">
        <f>IF(J$148,IF(OR(BD!G95=0,BD!G95="-"),I95,BD!G95),"")</f>
        <v>0</v>
      </c>
      <c r="K95" s="12">
        <f>IF(K$148,IF(OR(BD!H95=0,BD!H95="-"),J95,BD!H95),"")</f>
        <v>0</v>
      </c>
      <c r="L95" s="12">
        <f>IF(L$148,IF(OR(BD!I95=0,BD!I95="-"),K95,BD!I95),"")</f>
        <v>0</v>
      </c>
      <c r="M95" s="12">
        <f>IF(M$148,IF(OR(BD!J95=0,BD!J95="-"),L95,BD!J95),"")</f>
        <v>0</v>
      </c>
      <c r="N95" s="12">
        <f>IF(N$148,IF(OR(BD!K95=0,BD!K95="-"),M95,BD!K95),"")</f>
        <v>0</v>
      </c>
      <c r="O95" s="12">
        <f>IF(O$148,IF(OR(BD!L95=0,BD!L95="-"),N95,BD!L95),"")</f>
        <v>0</v>
      </c>
      <c r="P95" s="12">
        <f>IF(P$148,IF(OR(BD!M95=0,BD!M95="-"),O95,BD!M95),"")</f>
        <v>0</v>
      </c>
      <c r="Q95" s="12">
        <f>IF(Q$148,IF(OR(BD!N95=0,BD!N95="-"),P95,BD!N95),"")</f>
        <v>0</v>
      </c>
      <c r="R95" s="12">
        <f>IF(R$148,IF(OR(BD!O95=0,BD!O95="-"),Q95,BD!O95),"")</f>
        <v>0</v>
      </c>
      <c r="S95" s="12">
        <f>IF(S$148,IF(OR(BD!P95=0,BD!P95="-"),R95,BD!P95),"")</f>
        <v>0</v>
      </c>
    </row>
    <row r="96" spans="1:19">
      <c r="A96" s="34" t="str">
        <f>BD!A96</f>
        <v>G. C. Ant. da Coxa(mm) - p7</v>
      </c>
      <c r="B96" s="155" t="e">
        <f t="shared" ca="1" si="14"/>
        <v>#NAME?</v>
      </c>
      <c r="C96" s="150">
        <f t="shared" ca="1" si="15"/>
        <v>0</v>
      </c>
      <c r="D96" s="156" t="e">
        <f t="shared" ca="1" si="16"/>
        <v>#NAME?</v>
      </c>
      <c r="E96" s="12">
        <f>IF(E$2,IF(BD!B96="-",0,BD!B96+0),0)</f>
        <v>0</v>
      </c>
      <c r="F96" s="12">
        <f>IF(F$148,IF(OR(BD!C96=0,BD!C96="-"),E96,BD!C96),"")</f>
        <v>0</v>
      </c>
      <c r="G96" s="12">
        <f>IF(G$148,IF(OR(BD!D96=0,BD!D96="-"),F96,BD!D96),"")</f>
        <v>0</v>
      </c>
      <c r="H96" s="12">
        <f>IF(H$148,IF(OR(BD!E96=0,BD!E96="-"),G96,BD!E96),"")</f>
        <v>0</v>
      </c>
      <c r="I96" s="12">
        <f>IF(I$148,IF(OR(BD!F96=0,BD!F96="-"),H96,BD!F96),"")</f>
        <v>0</v>
      </c>
      <c r="J96" s="12">
        <f>IF(J$148,IF(OR(BD!G96=0,BD!G96="-"),I96,BD!G96),"")</f>
        <v>0</v>
      </c>
      <c r="K96" s="12">
        <f>IF(K$148,IF(OR(BD!H96=0,BD!H96="-"),J96,BD!H96),"")</f>
        <v>0</v>
      </c>
      <c r="L96" s="12">
        <f>IF(L$148,IF(OR(BD!I96=0,BD!I96="-"),K96,BD!I96),"")</f>
        <v>0</v>
      </c>
      <c r="M96" s="12">
        <f>IF(M$148,IF(OR(BD!J96=0,BD!J96="-"),L96,BD!J96),"")</f>
        <v>0</v>
      </c>
      <c r="N96" s="12">
        <f>IF(N$148,IF(OR(BD!K96=0,BD!K96="-"),M96,BD!K96),"")</f>
        <v>0</v>
      </c>
      <c r="O96" s="12">
        <f>IF(O$148,IF(OR(BD!L96=0,BD!L96="-"),N96,BD!L96),"")</f>
        <v>0</v>
      </c>
      <c r="P96" s="12">
        <f>IF(P$148,IF(OR(BD!M96=0,BD!M96="-"),O96,BD!M96),"")</f>
        <v>0</v>
      </c>
      <c r="Q96" s="12">
        <f>IF(Q$148,IF(OR(BD!N96=0,BD!N96="-"),P96,BD!N96),"")</f>
        <v>0</v>
      </c>
      <c r="R96" s="12">
        <f>IF(R$148,IF(OR(BD!O96=0,BD!O96="-"),Q96,BD!O96),"")</f>
        <v>0</v>
      </c>
      <c r="S96" s="12">
        <f>IF(S$148,IF(OR(BD!P96=0,BD!P96="-"),R96,BD!P96),"")</f>
        <v>0</v>
      </c>
    </row>
    <row r="97" spans="1:19">
      <c r="A97" s="34" t="str">
        <f>BD!A97</f>
        <v>G. C. Ant. da Coxa(mm) - p8</v>
      </c>
      <c r="B97" s="155" t="e">
        <f t="shared" ca="1" si="14"/>
        <v>#NAME?</v>
      </c>
      <c r="C97" s="150">
        <f t="shared" ca="1" si="15"/>
        <v>0</v>
      </c>
      <c r="D97" s="156" t="e">
        <f t="shared" ca="1" si="16"/>
        <v>#NAME?</v>
      </c>
      <c r="E97" s="12">
        <f>IF(E$2,IF(BD!B97="-",0,BD!B97+0),0)</f>
        <v>0</v>
      </c>
      <c r="F97" s="12">
        <f>IF(F$148,IF(OR(BD!C97=0,BD!C97="-"),E97,BD!C97),"")</f>
        <v>0</v>
      </c>
      <c r="G97" s="12">
        <f>IF(G$148,IF(OR(BD!D97=0,BD!D97="-"),F97,BD!D97),"")</f>
        <v>0</v>
      </c>
      <c r="H97" s="12">
        <f>IF(H$148,IF(OR(BD!E97=0,BD!E97="-"),G97,BD!E97),"")</f>
        <v>0</v>
      </c>
      <c r="I97" s="12">
        <f>IF(I$148,IF(OR(BD!F97=0,BD!F97="-"),H97,BD!F97),"")</f>
        <v>0</v>
      </c>
      <c r="J97" s="12">
        <f>IF(J$148,IF(OR(BD!G97=0,BD!G97="-"),I97,BD!G97),"")</f>
        <v>0</v>
      </c>
      <c r="K97" s="12">
        <f>IF(K$148,IF(OR(BD!H97=0,BD!H97="-"),J97,BD!H97),"")</f>
        <v>0</v>
      </c>
      <c r="L97" s="12">
        <f>IF(L$148,IF(OR(BD!I97=0,BD!I97="-"),K97,BD!I97),"")</f>
        <v>0</v>
      </c>
      <c r="M97" s="12">
        <f>IF(M$148,IF(OR(BD!J97=0,BD!J97="-"),L97,BD!J97),"")</f>
        <v>0</v>
      </c>
      <c r="N97" s="12">
        <f>IF(N$148,IF(OR(BD!K97=0,BD!K97="-"),M97,BD!K97),"")</f>
        <v>0</v>
      </c>
      <c r="O97" s="12">
        <f>IF(O$148,IF(OR(BD!L97=0,BD!L97="-"),N97,BD!L97),"")</f>
        <v>0</v>
      </c>
      <c r="P97" s="12">
        <f>IF(P$148,IF(OR(BD!M97=0,BD!M97="-"),O97,BD!M97),"")</f>
        <v>0</v>
      </c>
      <c r="Q97" s="12">
        <f>IF(Q$148,IF(OR(BD!N97=0,BD!N97="-"),P97,BD!N97),"")</f>
        <v>0</v>
      </c>
      <c r="R97" s="12">
        <f>IF(R$148,IF(OR(BD!O97=0,BD!O97="-"),Q97,BD!O97),"")</f>
        <v>0</v>
      </c>
      <c r="S97" s="12">
        <f>IF(S$148,IF(OR(BD!P97=0,BD!P97="-"),R97,BD!P97),"")</f>
        <v>0</v>
      </c>
    </row>
    <row r="98" spans="1:19">
      <c r="A98" s="34" t="str">
        <f>BD!A98</f>
        <v>G. C. Ant. da Coxa(mm) - p9</v>
      </c>
      <c r="B98" s="155" t="e">
        <f t="shared" ca="1" si="14"/>
        <v>#NAME?</v>
      </c>
      <c r="C98" s="150">
        <f t="shared" ca="1" si="15"/>
        <v>0</v>
      </c>
      <c r="D98" s="156" t="e">
        <f t="shared" ca="1" si="16"/>
        <v>#NAME?</v>
      </c>
      <c r="E98" s="12">
        <f>IF(E$2,IF(BD!B98="-",0,BD!B98+0),0)</f>
        <v>0</v>
      </c>
      <c r="F98" s="12">
        <f>IF(F$148,IF(OR(BD!C98=0,BD!C98="-"),E98,BD!C98),"")</f>
        <v>0</v>
      </c>
      <c r="G98" s="12">
        <f>IF(G$148,IF(OR(BD!D98=0,BD!D98="-"),F98,BD!D98),"")</f>
        <v>0</v>
      </c>
      <c r="H98" s="12">
        <f>IF(H$148,IF(OR(BD!E98=0,BD!E98="-"),G98,BD!E98),"")</f>
        <v>0</v>
      </c>
      <c r="I98" s="12">
        <f>IF(I$148,IF(OR(BD!F98=0,BD!F98="-"),H98,BD!F98),"")</f>
        <v>0</v>
      </c>
      <c r="J98" s="12">
        <f>IF(J$148,IF(OR(BD!G98=0,BD!G98="-"),I98,BD!G98),"")</f>
        <v>0</v>
      </c>
      <c r="K98" s="12">
        <f>IF(K$148,IF(OR(BD!H98=0,BD!H98="-"),J98,BD!H98),"")</f>
        <v>0</v>
      </c>
      <c r="L98" s="12">
        <f>IF(L$148,IF(OR(BD!I98=0,BD!I98="-"),K98,BD!I98),"")</f>
        <v>0</v>
      </c>
      <c r="M98" s="12">
        <f>IF(M$148,IF(OR(BD!J98=0,BD!J98="-"),L98,BD!J98),"")</f>
        <v>0</v>
      </c>
      <c r="N98" s="12">
        <f>IF(N$148,IF(OR(BD!K98=0,BD!K98="-"),M98,BD!K98),"")</f>
        <v>0</v>
      </c>
      <c r="O98" s="12">
        <f>IF(O$148,IF(OR(BD!L98=0,BD!L98="-"),N98,BD!L98),"")</f>
        <v>0</v>
      </c>
      <c r="P98" s="12">
        <f>IF(P$148,IF(OR(BD!M98=0,BD!M98="-"),O98,BD!M98),"")</f>
        <v>0</v>
      </c>
      <c r="Q98" s="12">
        <f>IF(Q$148,IF(OR(BD!N98=0,BD!N98="-"),P98,BD!N98),"")</f>
        <v>0</v>
      </c>
      <c r="R98" s="12">
        <f>IF(R$148,IF(OR(BD!O98=0,BD!O98="-"),Q98,BD!O98),"")</f>
        <v>0</v>
      </c>
      <c r="S98" s="12">
        <f>IF(S$148,IF(OR(BD!P98=0,BD!P98="-"),R98,BD!P98),"")</f>
        <v>0</v>
      </c>
    </row>
    <row r="99" spans="1:19">
      <c r="A99" s="34" t="str">
        <f>BD!A99</f>
        <v>Compartimento Anterior da Coxa(mm)</v>
      </c>
      <c r="B99" s="155" t="e">
        <f t="shared" ca="1" si="14"/>
        <v>#NAME?</v>
      </c>
      <c r="C99" s="155">
        <f t="shared" ca="1" si="15"/>
        <v>3.6</v>
      </c>
      <c r="D99" s="156" t="e">
        <f t="shared" ca="1" si="16"/>
        <v>#NAME?</v>
      </c>
      <c r="E99" s="147">
        <f>IF(E$2,IF(BD!B99="-",0,BD!B99+0),0)</f>
        <v>5.8</v>
      </c>
      <c r="F99" s="147">
        <f>IF(F$148,IF(OR(BD!C99=0,BD!C99="-"),E99,BD!C99),"")</f>
        <v>5.5</v>
      </c>
      <c r="G99" s="147">
        <f>IF(G$148,IF(OR(BD!D99=0,BD!D99="-"),F99,BD!D99),"")</f>
        <v>4.2</v>
      </c>
      <c r="H99" s="147">
        <f>IF(H$148,IF(OR(BD!E99=0,BD!E99="-"),G99,BD!E99),"")</f>
        <v>3.6</v>
      </c>
      <c r="I99" s="147">
        <f>IF(I$148,IF(OR(BD!F99=0,BD!F99="-"),H99,BD!F99),"")</f>
        <v>3.6</v>
      </c>
      <c r="J99" s="147">
        <f>IF(J$148,IF(OR(BD!G99=0,BD!G99="-"),I99,BD!G99),"")</f>
        <v>3.6</v>
      </c>
      <c r="K99" s="147">
        <f>IF(K$148,IF(OR(BD!H99=0,BD!H99="-"),J99,BD!H99),"")</f>
        <v>3.6</v>
      </c>
      <c r="L99" s="147">
        <f>IF(L$148,IF(OR(BD!I99=0,BD!I99="-"),K99,BD!I99),"")</f>
        <v>3.9</v>
      </c>
      <c r="M99" s="147">
        <f>IF(M$148,IF(OR(BD!J99=0,BD!J99="-"),L99,BD!J99),"")</f>
        <v>3.9</v>
      </c>
      <c r="N99" s="147">
        <f>IF(N$148,IF(OR(BD!K99=0,BD!K99="-"),M99,BD!K99),"")</f>
        <v>3.6</v>
      </c>
      <c r="O99" s="147">
        <f>IF(O$148,IF(OR(BD!L99=0,BD!L99="-"),N99,BD!L99),"")</f>
        <v>3.6</v>
      </c>
      <c r="P99" s="147">
        <f>IF(P$148,IF(OR(BD!M99=0,BD!M99="-"),O99,BD!M99),"")</f>
        <v>3.6</v>
      </c>
      <c r="Q99" s="12">
        <f>IF(Q$148,IF(OR(BD!N99=0,BD!N99="-"),P99,BD!N99),"")</f>
        <v>3.6</v>
      </c>
      <c r="R99" s="12">
        <f>IF(R$148,IF(OR(BD!O99=0,BD!O99="-"),Q99,BD!O99),"")</f>
        <v>3.6</v>
      </c>
      <c r="S99" s="12">
        <f>IF(S$148,IF(OR(BD!P99=0,BD!P99="-"),R99,BD!P99),"")</f>
        <v>3.6</v>
      </c>
    </row>
    <row r="100" spans="1:19">
      <c r="B100" s="157"/>
      <c r="C100" s="150"/>
      <c r="D100" s="156"/>
      <c r="E100" s="12"/>
      <c r="F100" s="12"/>
      <c r="G100" s="12"/>
      <c r="H100" s="12"/>
      <c r="I100" s="12"/>
      <c r="J100" s="12"/>
      <c r="K100" s="12"/>
      <c r="L100" s="12"/>
      <c r="M100" s="12"/>
      <c r="N100" s="12"/>
      <c r="O100" s="12"/>
      <c r="P100" s="12"/>
      <c r="Q100" s="12"/>
      <c r="R100" s="12"/>
      <c r="S100" s="12"/>
    </row>
    <row r="101" spans="1:19">
      <c r="A101" s="34" t="str">
        <f>BD!A101</f>
        <v>M. Perna Direita</v>
      </c>
      <c r="B101" s="155" t="e">
        <f t="shared" ref="B101:B105" ca="1" si="17">_xludf.IFS($E101+0&gt;0,$E101,$F101+0&gt;0,$F101,$G101+0&gt;0,$G101,$H101+0&gt;0,$H101,$I101+0&gt;0,$I101,$J101+0&gt;0,$J101,$K101+0&gt;0,$K101,$L101+0&gt;0,$L101,$M101+0&gt;0,$M101,$N101+0&gt;0,$N101,$O101+0&gt;0,$O101,$P101+0&gt;0,$P101,$Q101+0&gt;0,$Q101,$R101+0&gt;0,$R101,$S101+0&gt;0,$S101,TRUE(),"-")</f>
        <v>#NAME?</v>
      </c>
      <c r="C101" s="155">
        <f t="shared" ref="C101:C105" ca="1" si="18">OFFSET(D101,0,$A$147)</f>
        <v>10</v>
      </c>
      <c r="D101" s="156" t="e">
        <f t="shared" ref="D101:D105" ca="1" si="19">IF(OR(B101=0,B101="-"),"-",((C101-B101)/B101)*100)</f>
        <v>#NAME?</v>
      </c>
      <c r="E101" s="147">
        <f>IF(E$2,IF(BD!B101="-",0,BD!B101+0),0)</f>
        <v>9.16</v>
      </c>
      <c r="F101" s="147">
        <f>IF(F$148,IF(OR(BD!C101=0,BD!C101="-"),E101,BD!C101),"")</f>
        <v>9.1199999999999992</v>
      </c>
      <c r="G101" s="147">
        <f>IF(G$148,IF(OR(BD!D101=0,BD!D101="-"),F101,BD!D101),"")</f>
        <v>8.86</v>
      </c>
      <c r="H101" s="147">
        <f>IF(H$148,IF(OR(BD!E101=0,BD!E101="-"),G101,BD!E101),"")</f>
        <v>9.27</v>
      </c>
      <c r="I101" s="147">
        <f>IF(I$148,IF(OR(BD!F101=0,BD!F101="-"),H101,BD!F101),"")</f>
        <v>9.5399999999999991</v>
      </c>
      <c r="J101" s="147">
        <f>IF(J$148,IF(OR(BD!G101=0,BD!G101="-"),I101,BD!G101),"")</f>
        <v>9.74</v>
      </c>
      <c r="K101" s="147">
        <f>IF(K$148,IF(OR(BD!H101=0,BD!H101="-"),J101,BD!H101),"")</f>
        <v>10.199999999999999</v>
      </c>
      <c r="L101" s="147">
        <f>IF(L$148,IF(OR(BD!I101=0,BD!I101="-"),K101,BD!I101),"")</f>
        <v>10.199999999999999</v>
      </c>
      <c r="M101" s="148">
        <f>IF(M$148,IF(OR(BD!J101=0,BD!J101="-"),L101,BD!J101),"")</f>
        <v>9.8000000000000007</v>
      </c>
      <c r="N101" s="147">
        <f>IF(N$148,IF(OR(BD!K101=0,BD!K101="-"),M101,BD!K101),"")</f>
        <v>9.8000000000000007</v>
      </c>
      <c r="O101" s="148">
        <f>IF(O$148,IF(OR(BD!L101=0,BD!L101="-"),N101,BD!L101),"")</f>
        <v>9.9</v>
      </c>
      <c r="P101" s="147">
        <f>IF(P$148,IF(OR(BD!M101=0,BD!M101="-"),O101,BD!M101),"")</f>
        <v>10</v>
      </c>
      <c r="Q101" s="12">
        <f>IF(Q$148,IF(OR(BD!N101=0,BD!N101="-"),P101,BD!N101),"")</f>
        <v>10</v>
      </c>
      <c r="R101" s="12">
        <f>IF(R$148,IF(OR(BD!O101=0,BD!O101="-"),Q101,BD!O101),"")</f>
        <v>10</v>
      </c>
      <c r="S101" s="12">
        <f>IF(S$148,IF(OR(BD!P101=0,BD!P101="-"),R101,BD!P101),"")</f>
        <v>10</v>
      </c>
    </row>
    <row r="102" spans="1:19">
      <c r="A102" s="34" t="str">
        <f>BD!A102</f>
        <v>M. Perna Esquerda</v>
      </c>
      <c r="B102" s="155" t="e">
        <f t="shared" ca="1" si="17"/>
        <v>#NAME?</v>
      </c>
      <c r="C102" s="155">
        <f t="shared" ca="1" si="18"/>
        <v>9.9</v>
      </c>
      <c r="D102" s="156" t="e">
        <f t="shared" ca="1" si="19"/>
        <v>#NAME?</v>
      </c>
      <c r="E102" s="147">
        <f>IF(E$2,IF(BD!B102="-",0,BD!B102+0),0)</f>
        <v>9.1300000000000008</v>
      </c>
      <c r="F102" s="147">
        <f>IF(F$148,IF(OR(BD!C102=0,BD!C102="-"),E102,BD!C102),"")</f>
        <v>9.0399999999999991</v>
      </c>
      <c r="G102" s="147">
        <f>IF(G$148,IF(OR(BD!D102=0,BD!D102="-"),F102,BD!D102),"")</f>
        <v>8.7899999999999991</v>
      </c>
      <c r="H102" s="147">
        <f>IF(H$148,IF(OR(BD!E102=0,BD!E102="-"),G102,BD!E102),"")</f>
        <v>9.2100000000000009</v>
      </c>
      <c r="I102" s="147">
        <f>IF(I$148,IF(OR(BD!F102=0,BD!F102="-"),H102,BD!F102),"")</f>
        <v>9.5299999999999994</v>
      </c>
      <c r="J102" s="147">
        <f>IF(J$148,IF(OR(BD!G102=0,BD!G102="-"),I102,BD!G102),"")</f>
        <v>9.77</v>
      </c>
      <c r="K102" s="147">
        <f>IF(K$148,IF(OR(BD!H102=0,BD!H102="-"),J102,BD!H102),"")</f>
        <v>10.199999999999999</v>
      </c>
      <c r="L102" s="147">
        <f>IF(L$148,IF(OR(BD!I102=0,BD!I102="-"),K102,BD!I102),"")</f>
        <v>10.199999999999999</v>
      </c>
      <c r="M102" s="148">
        <f>IF(M$148,IF(OR(BD!J102=0,BD!J102="-"),L102,BD!J102),"")</f>
        <v>9.8000000000000007</v>
      </c>
      <c r="N102" s="147">
        <f>IF(N$148,IF(OR(BD!K102=0,BD!K102="-"),M102,BD!K102),"")</f>
        <v>9.8000000000000007</v>
      </c>
      <c r="O102" s="148">
        <f>IF(O$148,IF(OR(BD!L102=0,BD!L102="-"),N102,BD!L102),"")</f>
        <v>9.9</v>
      </c>
      <c r="P102" s="147">
        <f>IF(P$148,IF(OR(BD!M102=0,BD!M102="-"),O102,BD!M102),"")</f>
        <v>9.9</v>
      </c>
      <c r="Q102" s="12">
        <f>IF(Q$148,IF(OR(BD!N102=0,BD!N102="-"),P102,BD!N102),"")</f>
        <v>9.9</v>
      </c>
      <c r="R102" s="12">
        <f>IF(R$148,IF(OR(BD!O102=0,BD!O102="-"),Q102,BD!O102),"")</f>
        <v>9.9</v>
      </c>
      <c r="S102" s="12">
        <f>IF(S$148,IF(OR(BD!P102=0,BD!P102="-"),R102,BD!P102),"")</f>
        <v>9.9</v>
      </c>
    </row>
    <row r="103" spans="1:19">
      <c r="A103" s="34" t="str">
        <f>BD!A103</f>
        <v>M. Braço Direito</v>
      </c>
      <c r="B103" s="155" t="e">
        <f t="shared" ca="1" si="17"/>
        <v>#NAME?</v>
      </c>
      <c r="C103" s="155">
        <f t="shared" ca="1" si="18"/>
        <v>3</v>
      </c>
      <c r="D103" s="156" t="e">
        <f t="shared" ca="1" si="19"/>
        <v>#NAME?</v>
      </c>
      <c r="E103" s="147">
        <f>IF(E$2,IF(BD!B103="-",0,BD!B103+0),0)</f>
        <v>2.88</v>
      </c>
      <c r="F103" s="147">
        <f>IF(F$148,IF(OR(BD!C103=0,BD!C103="-"),E103,BD!C103),"")</f>
        <v>2.83</v>
      </c>
      <c r="G103" s="147">
        <f>IF(G$148,IF(OR(BD!D103=0,BD!D103="-"),F103,BD!D103),"")</f>
        <v>2.78</v>
      </c>
      <c r="H103" s="147">
        <f>IF(H$148,IF(OR(BD!E103=0,BD!E103="-"),G103,BD!E103),"")</f>
        <v>3.11</v>
      </c>
      <c r="I103" s="147">
        <f>IF(I$148,IF(OR(BD!F103=0,BD!F103="-"),H103,BD!F103),"")</f>
        <v>3.06</v>
      </c>
      <c r="J103" s="147">
        <f>IF(J$148,IF(OR(BD!G103=0,BD!G103="-"),I103,BD!G103),"")</f>
        <v>2.98</v>
      </c>
      <c r="K103" s="147">
        <f>IF(K$148,IF(OR(BD!H103=0,BD!H103="-"),J103,BD!H103),"")</f>
        <v>3.2</v>
      </c>
      <c r="L103" s="147">
        <f>IF(L$148,IF(OR(BD!I103=0,BD!I103="-"),K103,BD!I103),"")</f>
        <v>3.2</v>
      </c>
      <c r="M103" s="148">
        <f>IF(M$148,IF(OR(BD!J103=0,BD!J103="-"),L103,BD!J103),"")</f>
        <v>3.1</v>
      </c>
      <c r="N103" s="147">
        <f>IF(N$148,IF(OR(BD!K103=0,BD!K103="-"),M103,BD!K103),"")</f>
        <v>3.1</v>
      </c>
      <c r="O103" s="148">
        <f>IF(O$148,IF(OR(BD!L103=0,BD!L103="-"),N103,BD!L103),"")</f>
        <v>3.1</v>
      </c>
      <c r="P103" s="147">
        <f>IF(P$148,IF(OR(BD!M103=0,BD!M103="-"),O103,BD!M103),"")</f>
        <v>3</v>
      </c>
      <c r="Q103" s="12">
        <f>IF(Q$148,IF(OR(BD!N103=0,BD!N103="-"),P103,BD!N103),"")</f>
        <v>3</v>
      </c>
      <c r="R103" s="12">
        <f>IF(R$148,IF(OR(BD!O103=0,BD!O103="-"),Q103,BD!O103),"")</f>
        <v>3</v>
      </c>
      <c r="S103" s="12">
        <f>IF(S$148,IF(OR(BD!P103=0,BD!P103="-"),R103,BD!P103),"")</f>
        <v>3</v>
      </c>
    </row>
    <row r="104" spans="1:19">
      <c r="A104" s="34" t="str">
        <f>BD!A104</f>
        <v>M. Braço Esquerdo</v>
      </c>
      <c r="B104" s="155" t="e">
        <f t="shared" ca="1" si="17"/>
        <v>#NAME?</v>
      </c>
      <c r="C104" s="155">
        <f t="shared" ca="1" si="18"/>
        <v>3</v>
      </c>
      <c r="D104" s="156" t="e">
        <f t="shared" ca="1" si="19"/>
        <v>#NAME?</v>
      </c>
      <c r="E104" s="147">
        <f>IF(E$2,IF(BD!B104="-",0,BD!B104+0),0)</f>
        <v>2.76</v>
      </c>
      <c r="F104" s="147">
        <f>IF(F$148,IF(OR(BD!C104=0,BD!C104="-"),E104,BD!C104),"")</f>
        <v>2.79</v>
      </c>
      <c r="G104" s="147">
        <f>IF(G$148,IF(OR(BD!D104=0,BD!D104="-"),F104,BD!D104),"")</f>
        <v>2.75</v>
      </c>
      <c r="H104" s="147">
        <f>IF(H$148,IF(OR(BD!E104=0,BD!E104="-"),G104,BD!E104),"")</f>
        <v>2.98</v>
      </c>
      <c r="I104" s="147">
        <f>IF(I$148,IF(OR(BD!F104=0,BD!F104="-"),H104,BD!F104),"")</f>
        <v>2.98</v>
      </c>
      <c r="J104" s="147">
        <f>IF(J$148,IF(OR(BD!G104=0,BD!G104="-"),I104,BD!G104),"")</f>
        <v>2.97</v>
      </c>
      <c r="K104" s="147">
        <f>IF(K$148,IF(OR(BD!H104=0,BD!H104="-"),J104,BD!H104),"")</f>
        <v>3.2</v>
      </c>
      <c r="L104" s="147">
        <f>IF(L$148,IF(OR(BD!I104=0,BD!I104="-"),K104,BD!I104),"")</f>
        <v>3.2</v>
      </c>
      <c r="M104" s="148">
        <f>IF(M$148,IF(OR(BD!J104=0,BD!J104="-"),L104,BD!J104),"")</f>
        <v>3.1</v>
      </c>
      <c r="N104" s="147">
        <f>IF(N$148,IF(OR(BD!K104=0,BD!K104="-"),M104,BD!K104),"")</f>
        <v>3.1</v>
      </c>
      <c r="O104" s="148">
        <f>IF(O$148,IF(OR(BD!L104=0,BD!L104="-"),N104,BD!L104),"")</f>
        <v>3.1</v>
      </c>
      <c r="P104" s="147">
        <f>IF(P$148,IF(OR(BD!M104=0,BD!M104="-"),O104,BD!M104),"")</f>
        <v>3</v>
      </c>
      <c r="Q104" s="12">
        <f>IF(Q$148,IF(OR(BD!N104=0,BD!N104="-"),P104,BD!N104),"")</f>
        <v>3</v>
      </c>
      <c r="R104" s="12">
        <f>IF(R$148,IF(OR(BD!O104=0,BD!O104="-"),Q104,BD!O104),"")</f>
        <v>3</v>
      </c>
      <c r="S104" s="12">
        <f>IF(S$148,IF(OR(BD!P104=0,BD!P104="-"),R104,BD!P104),"")</f>
        <v>3</v>
      </c>
    </row>
    <row r="105" spans="1:19">
      <c r="A105" s="34" t="str">
        <f>BD!A105</f>
        <v>M. Tronco</v>
      </c>
      <c r="B105" s="155" t="e">
        <f t="shared" ca="1" si="17"/>
        <v>#NAME?</v>
      </c>
      <c r="C105" s="155">
        <f t="shared" ca="1" si="18"/>
        <v>31.2</v>
      </c>
      <c r="D105" s="156" t="e">
        <f t="shared" ca="1" si="19"/>
        <v>#NAME?</v>
      </c>
      <c r="E105" s="147">
        <f>IF(E$2,IF(BD!B105="-",0,BD!B105+0),0)</f>
        <v>23.9</v>
      </c>
      <c r="F105" s="147">
        <f>IF(F$148,IF(OR(BD!C105=0,BD!C105="-"),E105,BD!C105),"")</f>
        <v>23.5</v>
      </c>
      <c r="G105" s="147">
        <f>IF(G$148,IF(OR(BD!D105=0,BD!D105="-"),F105,BD!D105),"")</f>
        <v>23.1</v>
      </c>
      <c r="H105" s="147">
        <f>IF(H$148,IF(OR(BD!E105=0,BD!E105="-"),G105,BD!E105),"")</f>
        <v>24.7</v>
      </c>
      <c r="I105" s="147">
        <f>IF(I$148,IF(OR(BD!F105=0,BD!F105="-"),H105,BD!F105),"")</f>
        <v>24.6</v>
      </c>
      <c r="J105" s="147">
        <f>IF(J$148,IF(OR(BD!G105=0,BD!G105="-"),I105,BD!G105),"")</f>
        <v>24.3</v>
      </c>
      <c r="K105" s="147">
        <f>IF(K$148,IF(OR(BD!H105=0,BD!H105="-"),J105,BD!H105),"")</f>
        <v>31.9</v>
      </c>
      <c r="L105" s="147">
        <f>IF(L$148,IF(OR(BD!I105=0,BD!I105="-"),K105,BD!I105),"")</f>
        <v>31.9</v>
      </c>
      <c r="M105" s="148">
        <f>IF(M$148,IF(OR(BD!J105=0,BD!J105="-"),L105,BD!J105),"")</f>
        <v>31.7</v>
      </c>
      <c r="N105" s="147">
        <f>IF(N$148,IF(OR(BD!K105=0,BD!K105="-"),M105,BD!K105),"")</f>
        <v>31.9</v>
      </c>
      <c r="O105" s="148">
        <f>IF(O$148,IF(OR(BD!L105=0,BD!L105="-"),N105,BD!L105),"")</f>
        <v>31.9</v>
      </c>
      <c r="P105" s="147">
        <f>IF(P$148,IF(OR(BD!M105=0,BD!M105="-"),O105,BD!M105),"")</f>
        <v>31.2</v>
      </c>
      <c r="Q105" s="12">
        <f>IF(Q$148,IF(OR(BD!N105=0,BD!N105="-"),P105,BD!N105),"")</f>
        <v>31.2</v>
      </c>
      <c r="R105" s="12">
        <f>IF(R$148,IF(OR(BD!O105=0,BD!O105="-"),Q105,BD!O105),"")</f>
        <v>31.2</v>
      </c>
      <c r="S105" s="12">
        <f>IF(S$148,IF(OR(BD!P105=0,BD!P105="-"),R105,BD!P105),"")</f>
        <v>31.2</v>
      </c>
    </row>
    <row r="106" spans="1:19">
      <c r="B106" s="157"/>
      <c r="C106" s="150"/>
      <c r="D106" s="156"/>
      <c r="E106" s="12"/>
      <c r="F106" s="12"/>
      <c r="G106" s="12"/>
      <c r="H106" s="12"/>
      <c r="I106" s="12"/>
      <c r="J106" s="12"/>
      <c r="K106" s="12"/>
      <c r="L106" s="12"/>
      <c r="M106" s="12"/>
      <c r="N106" s="12"/>
      <c r="O106" s="12"/>
      <c r="P106" s="12"/>
      <c r="Q106" s="12"/>
      <c r="R106" s="12"/>
      <c r="S106" s="12"/>
    </row>
    <row r="107" spans="1:19">
      <c r="A107" s="34" t="str">
        <f>BD!A107</f>
        <v>G. Perna Direita</v>
      </c>
      <c r="B107" s="155" t="e">
        <f t="shared" ref="B107:B111" ca="1" si="20">_xludf.IFS($E107+0&gt;0,$E107,$F107+0&gt;0,$F107,$G107+0&gt;0,$G107,$H107+0&gt;0,$H107,$I107+0&gt;0,$I107,$J107+0&gt;0,$J107,$K107+0&gt;0,$K107,$L107+0&gt;0,$L107,$M107+0&gt;0,$M107,$N107+0&gt;0,$N107,$O107+0&gt;0,$O107,$P107+0&gt;0,$P107,$Q107+0&gt;0,$Q107,$R107+0&gt;0,$R107,$S107+0&gt;0,$S107,TRUE(),"-")</f>
        <v>#NAME?</v>
      </c>
      <c r="C107" s="155">
        <f t="shared" ref="C107:C111" ca="1" si="21">OFFSET(D107,0,$A$147)</f>
        <v>1.5</v>
      </c>
      <c r="D107" s="156" t="e">
        <f t="shared" ref="D107:D111" ca="1" si="22">IF(OR(B107=0,B107="-"),"-",((C107-B107)/B107)*100)</f>
        <v>#NAME?</v>
      </c>
      <c r="E107" s="147">
        <f>IF(E$2,IF(BD!B107="-",0,BD!B107+0),0)</f>
        <v>3.3</v>
      </c>
      <c r="F107" s="147">
        <f>IF(F$148,IF(OR(BD!C107=0,BD!C107="-"),E107,BD!C107),"")</f>
        <v>2</v>
      </c>
      <c r="G107" s="147">
        <f>IF(G$148,IF(OR(BD!D107=0,BD!D107="-"),F107,BD!D107),"")</f>
        <v>1.4</v>
      </c>
      <c r="H107" s="147">
        <f>IF(H$148,IF(OR(BD!E107=0,BD!E107="-"),G107,BD!E107),"")</f>
        <v>1.1000000000000001</v>
      </c>
      <c r="I107" s="147">
        <f>IF(I$148,IF(OR(BD!F107=0,BD!F107="-"),H107,BD!F107),"")</f>
        <v>1.5</v>
      </c>
      <c r="J107" s="147">
        <f>IF(J$148,IF(OR(BD!G107=0,BD!G107="-"),I107,BD!G107),"")</f>
        <v>1.3</v>
      </c>
      <c r="K107" s="147">
        <f>IF(K$148,IF(OR(BD!H107=0,BD!H107="-"),J107,BD!H107),"")</f>
        <v>1.1499999999999999</v>
      </c>
      <c r="L107" s="147">
        <f>IF(L$148,IF(OR(BD!I107=0,BD!I107="-"),K107,BD!I107),"")</f>
        <v>1.1499999999999999</v>
      </c>
      <c r="M107" s="148">
        <f>IF(M$148,IF(OR(BD!J107=0,BD!J107="-"),L107,BD!J107),"")</f>
        <v>1.5</v>
      </c>
      <c r="N107" s="148">
        <f>IF(N$148,IF(OR(BD!K107=0,BD!K107="-"),M107,BD!K107),"")</f>
        <v>1.5</v>
      </c>
      <c r="O107" s="148">
        <f>IF(O$148,IF(OR(BD!L107=0,BD!L107="-"),N107,BD!L107),"")</f>
        <v>1.3</v>
      </c>
      <c r="P107" s="147">
        <f>IF(P$148,IF(OR(BD!M107=0,BD!M107="-"),O107,BD!M107),"")</f>
        <v>1.5</v>
      </c>
      <c r="Q107" s="12">
        <f>IF(Q$148,IF(OR(BD!N107=0,BD!N107="-"),P107,BD!N107),"")</f>
        <v>1.5</v>
      </c>
      <c r="R107" s="12">
        <f>IF(R$148,IF(OR(BD!O107=0,BD!O107="-"),Q107,BD!O107),"")</f>
        <v>1.5</v>
      </c>
      <c r="S107" s="12">
        <f>IF(S$148,IF(OR(BD!P107=0,BD!P107="-"),R107,BD!P107),"")</f>
        <v>1.5</v>
      </c>
    </row>
    <row r="108" spans="1:19">
      <c r="A108" s="34" t="str">
        <f>BD!A108</f>
        <v>G. Perna Esquerda</v>
      </c>
      <c r="B108" s="155" t="e">
        <f t="shared" ca="1" si="20"/>
        <v>#NAME?</v>
      </c>
      <c r="C108" s="155">
        <f t="shared" ca="1" si="21"/>
        <v>1.55</v>
      </c>
      <c r="D108" s="156" t="e">
        <f t="shared" ca="1" si="22"/>
        <v>#NAME?</v>
      </c>
      <c r="E108" s="147">
        <f>IF(E$2,IF(BD!B108="-",0,BD!B108+0),0)</f>
        <v>3.3</v>
      </c>
      <c r="F108" s="147">
        <f>IF(F$148,IF(OR(BD!C108=0,BD!C108="-"),E108,BD!C108),"")</f>
        <v>2</v>
      </c>
      <c r="G108" s="147">
        <f>IF(G$148,IF(OR(BD!D108=0,BD!D108="-"),F108,BD!D108),"")</f>
        <v>1.4</v>
      </c>
      <c r="H108" s="147">
        <f>IF(H$148,IF(OR(BD!E108=0,BD!E108="-"),G108,BD!E108),"")</f>
        <v>1.1000000000000001</v>
      </c>
      <c r="I108" s="147">
        <f>IF(I$148,IF(OR(BD!F108=0,BD!F108="-"),H108,BD!F108),"")</f>
        <v>1.5</v>
      </c>
      <c r="J108" s="147">
        <f>IF(J$148,IF(OR(BD!G108=0,BD!G108="-"),I108,BD!G108),"")</f>
        <v>1.3</v>
      </c>
      <c r="K108" s="147">
        <f>IF(K$148,IF(OR(BD!H108=0,BD!H108="-"),J108,BD!H108),"")</f>
        <v>1.05</v>
      </c>
      <c r="L108" s="147">
        <f>IF(L$148,IF(OR(BD!I108=0,BD!I108="-"),K108,BD!I108),"")</f>
        <v>1.05</v>
      </c>
      <c r="M108" s="148">
        <f>IF(M$148,IF(OR(BD!J108=0,BD!J108="-"),L108,BD!J108),"")</f>
        <v>1.5</v>
      </c>
      <c r="N108" s="148">
        <f>IF(N$148,IF(OR(BD!K108=0,BD!K108="-"),M108,BD!K108),"")</f>
        <v>1.5</v>
      </c>
      <c r="O108" s="148">
        <f>IF(O$148,IF(OR(BD!L108=0,BD!L108="-"),N108,BD!L108),"")</f>
        <v>1.4</v>
      </c>
      <c r="P108" s="147">
        <f>IF(P$148,IF(OR(BD!M108=0,BD!M108="-"),O108,BD!M108),"")</f>
        <v>1.55</v>
      </c>
      <c r="Q108" s="12">
        <f>IF(Q$148,IF(OR(BD!N108=0,BD!N108="-"),P108,BD!N108),"")</f>
        <v>1.55</v>
      </c>
      <c r="R108" s="12">
        <f>IF(R$148,IF(OR(BD!O108=0,BD!O108="-"),Q108,BD!O108),"")</f>
        <v>1.55</v>
      </c>
      <c r="S108" s="12">
        <f>IF(S$148,IF(OR(BD!P108=0,BD!P108="-"),R108,BD!P108),"")</f>
        <v>1.55</v>
      </c>
    </row>
    <row r="109" spans="1:19">
      <c r="A109" s="34" t="str">
        <f>BD!A109</f>
        <v>G. Braço Direito</v>
      </c>
      <c r="B109" s="155" t="e">
        <f t="shared" ca="1" si="20"/>
        <v>#NAME?</v>
      </c>
      <c r="C109" s="155">
        <f t="shared" ca="1" si="21"/>
        <v>0.7</v>
      </c>
      <c r="D109" s="156" t="e">
        <f t="shared" ca="1" si="22"/>
        <v>#NAME?</v>
      </c>
      <c r="E109" s="147">
        <f>IF(E$2,IF(BD!B109="-",0,BD!B109+0),0)</f>
        <v>1.3</v>
      </c>
      <c r="F109" s="147">
        <f>IF(F$148,IF(OR(BD!C109=0,BD!C109="-"),E109,BD!C109),"")</f>
        <v>0.6</v>
      </c>
      <c r="G109" s="147">
        <f>IF(G$148,IF(OR(BD!D109=0,BD!D109="-"),F109,BD!D109),"")</f>
        <v>0.4</v>
      </c>
      <c r="H109" s="147">
        <f>IF(H$148,IF(OR(BD!E109=0,BD!E109="-"),G109,BD!E109),"")</f>
        <v>0.2</v>
      </c>
      <c r="I109" s="147">
        <f>IF(I$148,IF(OR(BD!F109=0,BD!F109="-"),H109,BD!F109),"")</f>
        <v>0.4</v>
      </c>
      <c r="J109" s="147">
        <f>IF(J$148,IF(OR(BD!G109=0,BD!G109="-"),I109,BD!G109),"")</f>
        <v>0.3</v>
      </c>
      <c r="K109" s="147">
        <f>IF(K$148,IF(OR(BD!H109=0,BD!H109="-"),J109,BD!H109),"")</f>
        <v>0.3</v>
      </c>
      <c r="L109" s="147">
        <f>IF(L$148,IF(OR(BD!I109=0,BD!I109="-"),K109,BD!I109),"")</f>
        <v>0.35</v>
      </c>
      <c r="M109" s="148">
        <f>IF(M$148,IF(OR(BD!J109=0,BD!J109="-"),L109,BD!J109),"")</f>
        <v>0.65</v>
      </c>
      <c r="N109" s="148">
        <f>IF(N$148,IF(OR(BD!K109=0,BD!K109="-"),M109,BD!K109),"")</f>
        <v>0.65</v>
      </c>
      <c r="O109" s="148">
        <f>IF(O$148,IF(OR(BD!L109=0,BD!L109="-"),N109,BD!L109),"")</f>
        <v>0.6</v>
      </c>
      <c r="P109" s="147">
        <f>IF(P$148,IF(OR(BD!M109=0,BD!M109="-"),O109,BD!M109),"")</f>
        <v>0.7</v>
      </c>
      <c r="Q109" s="12">
        <f>IF(Q$148,IF(OR(BD!N109=0,BD!N109="-"),P109,BD!N109),"")</f>
        <v>0.7</v>
      </c>
      <c r="R109" s="12">
        <f>IF(R$148,IF(OR(BD!O109=0,BD!O109="-"),Q109,BD!O109),"")</f>
        <v>0.7</v>
      </c>
      <c r="S109" s="12">
        <f>IF(S$148,IF(OR(BD!P109=0,BD!P109="-"),R109,BD!P109),"")</f>
        <v>0.7</v>
      </c>
    </row>
    <row r="110" spans="1:19">
      <c r="A110" s="34" t="str">
        <f>BD!A110</f>
        <v>G. Braço Esquerdo</v>
      </c>
      <c r="B110" s="155" t="e">
        <f t="shared" ca="1" si="20"/>
        <v>#NAME?</v>
      </c>
      <c r="C110" s="155">
        <f t="shared" ca="1" si="21"/>
        <v>0.75</v>
      </c>
      <c r="D110" s="156" t="e">
        <f t="shared" ca="1" si="22"/>
        <v>#NAME?</v>
      </c>
      <c r="E110" s="147">
        <f>IF(E$2,IF(BD!B110="-",0,BD!B110+0),0)</f>
        <v>1.3</v>
      </c>
      <c r="F110" s="147">
        <f>IF(F$148,IF(OR(BD!C110=0,BD!C110="-"),E110,BD!C110),"")</f>
        <v>0.6</v>
      </c>
      <c r="G110" s="147">
        <f>IF(G$148,IF(OR(BD!D110=0,BD!D110="-"),F110,BD!D110),"")</f>
        <v>0.4</v>
      </c>
      <c r="H110" s="147">
        <f>IF(H$148,IF(OR(BD!E110=0,BD!E110="-"),G110,BD!E110),"")</f>
        <v>0.3</v>
      </c>
      <c r="I110" s="147">
        <f>IF(I$148,IF(OR(BD!F110=0,BD!F110="-"),H110,BD!F110),"")</f>
        <v>0.4</v>
      </c>
      <c r="J110" s="147">
        <f>IF(J$148,IF(OR(BD!G110=0,BD!G110="-"),I110,BD!G110),"")</f>
        <v>0.3</v>
      </c>
      <c r="K110" s="147">
        <f>IF(K$148,IF(OR(BD!H110=0,BD!H110="-"),J110,BD!H110),"")</f>
        <v>0.3</v>
      </c>
      <c r="L110" s="147">
        <f>IF(L$148,IF(OR(BD!I110=0,BD!I110="-"),K110,BD!I110),"")</f>
        <v>0.4</v>
      </c>
      <c r="M110" s="148">
        <f>IF(M$148,IF(OR(BD!J110=0,BD!J110="-"),L110,BD!J110),"")</f>
        <v>0.65</v>
      </c>
      <c r="N110" s="148">
        <f>IF(N$148,IF(OR(BD!K110=0,BD!K110="-"),M110,BD!K110),"")</f>
        <v>0.65</v>
      </c>
      <c r="O110" s="148">
        <f>IF(O$148,IF(OR(BD!L110=0,BD!L110="-"),N110,BD!L110),"")</f>
        <v>0.65</v>
      </c>
      <c r="P110" s="147">
        <f>IF(P$148,IF(OR(BD!M110=0,BD!M110="-"),O110,BD!M110),"")</f>
        <v>0.75</v>
      </c>
      <c r="Q110" s="12">
        <f>IF(Q$148,IF(OR(BD!N110=0,BD!N110="-"),P110,BD!N110),"")</f>
        <v>0.75</v>
      </c>
      <c r="R110" s="12">
        <f>IF(R$148,IF(OR(BD!O110=0,BD!O110="-"),Q110,BD!O110),"")</f>
        <v>0.75</v>
      </c>
      <c r="S110" s="12">
        <f>IF(S$148,IF(OR(BD!P110=0,BD!P110="-"),R110,BD!P110),"")</f>
        <v>0.75</v>
      </c>
    </row>
    <row r="111" spans="1:19">
      <c r="A111" s="34" t="str">
        <f>BD!A111</f>
        <v>G. Tronco</v>
      </c>
      <c r="B111" s="155" t="e">
        <f t="shared" ca="1" si="20"/>
        <v>#NAME?</v>
      </c>
      <c r="C111" s="155">
        <f t="shared" ca="1" si="21"/>
        <v>8.6</v>
      </c>
      <c r="D111" s="156" t="e">
        <f t="shared" ca="1" si="22"/>
        <v>#NAME?</v>
      </c>
      <c r="E111" s="147">
        <f>IF(E$2,IF(BD!B111="-",0,BD!B111+0),0)</f>
        <v>10.5</v>
      </c>
      <c r="F111" s="147">
        <f>IF(F$148,IF(OR(BD!C111=0,BD!C111="-"),E111,BD!C111),"")</f>
        <v>5.8</v>
      </c>
      <c r="G111" s="147">
        <f>IF(G$148,IF(OR(BD!D111=0,BD!D111="-"),F111,BD!D111),"")</f>
        <v>3.4</v>
      </c>
      <c r="H111" s="147">
        <f>IF(H$148,IF(OR(BD!E111=0,BD!E111="-"),G111,BD!E111),"")</f>
        <v>2.4</v>
      </c>
      <c r="I111" s="147">
        <f>IF(I$148,IF(OR(BD!F111=0,BD!F111="-"),H111,BD!F111),"")</f>
        <v>3.9</v>
      </c>
      <c r="J111" s="147">
        <f>IF(J$148,IF(OR(BD!G111=0,BD!G111="-"),I111,BD!G111),"")</f>
        <v>3.2</v>
      </c>
      <c r="K111" s="147">
        <f>IF(K$148,IF(OR(BD!H111=0,BD!H111="-"),J111,BD!H111),"")</f>
        <v>3.2</v>
      </c>
      <c r="L111" s="147">
        <f>IF(L$148,IF(OR(BD!I111=0,BD!I111="-"),K111,BD!I111),"")</f>
        <v>5.95</v>
      </c>
      <c r="M111" s="148">
        <f>IF(M$148,IF(OR(BD!J111=0,BD!J111="-"),L111,BD!J111),"")</f>
        <v>7.3</v>
      </c>
      <c r="N111" s="148">
        <f>IF(N$148,IF(OR(BD!K111=0,BD!K111="-"),M111,BD!K111),"")</f>
        <v>7.2</v>
      </c>
      <c r="O111" s="148">
        <f>IF(O$148,IF(OR(BD!L111=0,BD!L111="-"),N111,BD!L111),"")</f>
        <v>6.95</v>
      </c>
      <c r="P111" s="147">
        <f>IF(P$148,IF(OR(BD!M111=0,BD!M111="-"),O111,BD!M111),"")</f>
        <v>8.6</v>
      </c>
      <c r="Q111" s="12">
        <f>IF(Q$148,IF(OR(BD!N111=0,BD!N111="-"),P111,BD!N111),"")</f>
        <v>8.6</v>
      </c>
      <c r="R111" s="12">
        <f>IF(R$148,IF(OR(BD!O111=0,BD!O111="-"),Q111,BD!O111),"")</f>
        <v>8.6</v>
      </c>
      <c r="S111" s="12">
        <f>IF(S$148,IF(OR(BD!P111=0,BD!P111="-"),R111,BD!P111),"")</f>
        <v>8.6</v>
      </c>
    </row>
    <row r="112" spans="1:19">
      <c r="B112" s="157"/>
      <c r="C112" s="150"/>
      <c r="D112" s="156"/>
      <c r="E112" s="12"/>
      <c r="F112" s="12"/>
      <c r="G112" s="12"/>
      <c r="H112" s="12"/>
      <c r="I112" s="12"/>
      <c r="J112" s="12"/>
      <c r="K112" s="12"/>
      <c r="L112" s="12"/>
      <c r="M112" s="12"/>
      <c r="N112" s="12"/>
      <c r="O112" s="12"/>
      <c r="P112" s="12"/>
      <c r="Q112" s="12"/>
      <c r="R112" s="12"/>
      <c r="S112" s="12"/>
    </row>
    <row r="113" spans="1:19">
      <c r="A113" s="34" t="str">
        <f>BD!A113</f>
        <v>Perímetro Abdominal</v>
      </c>
      <c r="B113" s="155" t="e">
        <f t="shared" ref="B113:B114" ca="1" si="23">_xludf.IFS($E113+0&gt;0,$E113,$F113+0&gt;0,$F113,$G113+0&gt;0,$G113,$H113+0&gt;0,$H113,$I113+0&gt;0,$I113,$J113+0&gt;0,$J113,$K113+0&gt;0,$K113,$L113+0&gt;0,$L113,$M113+0&gt;0,$M113,$N113+0&gt;0,$N113,$O113+0&gt;0,$O113,$P113+0&gt;0,$P113,$Q113+0&gt;0,$Q113,$R113+0&gt;0,$R113,$S113+0&gt;0,$S113,TRUE(),"-")</f>
        <v>#NAME?</v>
      </c>
      <c r="C113" s="155">
        <f t="shared" ref="C113:C115" ca="1" si="24">OFFSET(D113,0,$A$147)</f>
        <v>78</v>
      </c>
      <c r="D113" s="156" t="e">
        <f t="shared" ref="D113:D114" ca="1" si="25">IF(OR(B113=0,B113="-"),"-",((C113-B113)/B113)*100)</f>
        <v>#NAME?</v>
      </c>
      <c r="E113" s="147">
        <f>IF(E$2,IF(BD!B113="-",0,BD!B113+0),0)</f>
        <v>88.5</v>
      </c>
      <c r="F113" s="147">
        <f>IF(F$148,IF(OR(BD!C113=0,BD!C113="-"),E113,BD!C113),"")</f>
        <v>71.5</v>
      </c>
      <c r="G113" s="147">
        <f>IF(G$148,IF(OR(BD!D113=0,BD!D113="-"),F113,BD!D113),"")</f>
        <v>73.5</v>
      </c>
      <c r="H113" s="147">
        <f>IF(H$148,IF(OR(BD!E113=0,BD!E113="-"),G113,BD!E113),"")</f>
        <v>74.5</v>
      </c>
      <c r="I113" s="147">
        <f>IF(I$148,IF(OR(BD!F113=0,BD!F113="-"),H113,BD!F113),"")</f>
        <v>77.5</v>
      </c>
      <c r="J113" s="147">
        <f>IF(J$148,IF(OR(BD!G113=0,BD!G113="-"),I113,BD!G113),"")</f>
        <v>76</v>
      </c>
      <c r="K113" s="147">
        <f>IF(K$148,IF(OR(BD!H113=0,BD!H113="-"),J113,BD!H113),"")</f>
        <v>77</v>
      </c>
      <c r="L113" s="147">
        <f>IF(L$148,IF(OR(BD!I113=0,BD!I113="-"),K113,BD!I113),"")</f>
        <v>79</v>
      </c>
      <c r="M113" s="147">
        <f>IF(M$148,IF(OR(BD!J113=0,BD!J113="-"),L113,BD!J113),"")</f>
        <v>77.5</v>
      </c>
      <c r="N113" s="147">
        <f>IF(N$148,IF(OR(BD!K113=0,BD!K113="-"),M113,BD!K113),"")</f>
        <v>78</v>
      </c>
      <c r="O113" s="147">
        <f>IF(O$148,IF(OR(BD!L113=0,BD!L113="-"),N113,BD!L113),"")</f>
        <v>76</v>
      </c>
      <c r="P113" s="147">
        <f>IF(P$148,IF(OR(BD!M113=0,BD!M113="-"),O113,BD!M113),"")</f>
        <v>78</v>
      </c>
      <c r="Q113" s="12">
        <f>IF(Q$148,IF(OR(BD!N113=0,BD!N113="-"),P113,BD!N113),"")</f>
        <v>78</v>
      </c>
      <c r="R113" s="12">
        <f>IF(R$148,IF(OR(BD!O113=0,BD!O113="-"),Q113,BD!O113),"")</f>
        <v>78</v>
      </c>
      <c r="S113" s="12">
        <f>IF(S$148,IF(OR(BD!P113=0,BD!P113="-"),R113,BD!P113),"")</f>
        <v>78</v>
      </c>
    </row>
    <row r="114" spans="1:19">
      <c r="A114" s="34" t="str">
        <f>BD!A114</f>
        <v>Relação Abdome - Quadril</v>
      </c>
      <c r="B114" s="155" t="e">
        <f t="shared" ca="1" si="23"/>
        <v>#NAME?</v>
      </c>
      <c r="C114" s="156">
        <f t="shared" ca="1" si="24"/>
        <v>0.8764044943820225</v>
      </c>
      <c r="D114" s="156" t="e">
        <f t="shared" ca="1" si="25"/>
        <v>#NAME?</v>
      </c>
      <c r="E114" s="148">
        <f>IF(E$2,IF(BD!B114="-",0,BD!B114+0),0)</f>
        <v>0.94148936170212771</v>
      </c>
      <c r="F114" s="148">
        <f>IF(F$148,IF(OR(BD!C114=0,BD!C114="-"),E114,BD!C114),"")</f>
        <v>0.8125</v>
      </c>
      <c r="G114" s="148">
        <f>IF(G$148,IF(OR(BD!D114=0,BD!D114="-"),F114,BD!D114),"")</f>
        <v>0.86470588235294121</v>
      </c>
      <c r="H114" s="148">
        <f>IF(H$148,IF(OR(BD!E114=0,BD!E114="-"),G114,BD!E114),"")</f>
        <v>0.86627906976744184</v>
      </c>
      <c r="I114" s="148">
        <f>IF(I$148,IF(OR(BD!F114=0,BD!F114="-"),H114,BD!F114),"")</f>
        <v>0.87570621468926557</v>
      </c>
      <c r="J114" s="148">
        <f>IF(J$148,IF(OR(BD!G114=0,BD!G114="-"),I114,BD!G114),"")</f>
        <v>0.86363636363636365</v>
      </c>
      <c r="K114" s="148">
        <f>IF(K$148,IF(OR(BD!H114=0,BD!H114="-"),J114,BD!H114),"")</f>
        <v>0.8651685393258427</v>
      </c>
      <c r="L114" s="148">
        <f>IF(L$148,IF(OR(BD!I114=0,BD!I114="-"),K114,BD!I114),"")</f>
        <v>0.87777777777777777</v>
      </c>
      <c r="M114" s="148">
        <f>IF(M$148,IF(OR(BD!J114=0,BD!J114="-"),L114,BD!J114),"")</f>
        <v>0.8707865168539326</v>
      </c>
      <c r="N114" s="148">
        <f>IF(N$148,IF(OR(BD!K114=0,BD!K114="-"),M114,BD!K114),"")</f>
        <v>0.88135593220338981</v>
      </c>
      <c r="O114" s="148">
        <f>IF(O$148,IF(OR(BD!L114=0,BD!L114="-"),N114,BD!L114),"")</f>
        <v>0.8539325842696629</v>
      </c>
      <c r="P114" s="148">
        <f>IF(P$148,IF(OR(BD!M114=0,BD!M114="-"),O114,BD!M114),"")</f>
        <v>0.8764044943820225</v>
      </c>
      <c r="Q114" s="12">
        <f>IF(Q$148,IF(OR(BD!N114=0,BD!N114="-"),P114,BD!N114),"")</f>
        <v>0.8764044943820225</v>
      </c>
      <c r="R114" s="12">
        <f>IF(R$148,IF(OR(BD!O114=0,BD!O114="-"),Q114,BD!O114),"")</f>
        <v>0.8764044943820225</v>
      </c>
      <c r="S114" s="12">
        <f>IF(S$148,IF(OR(BD!P114=0,BD!P114="-"),R114,BD!P114),"")</f>
        <v>0.8764044943820225</v>
      </c>
    </row>
    <row r="115" spans="1:19">
      <c r="A115" s="34" t="str">
        <f>BD!A115</f>
        <v>Risco Coronariano Atual</v>
      </c>
      <c r="B115" s="150" t="e">
        <f ca="1">_xludf.IFS($E115&lt;&gt;"-",$E115,$F115&lt;&gt;"-",$F115,$G115&lt;&gt;"-",$G115,$H115&lt;&gt;"-",$H115,$I115&lt;&gt;"-",$I115,$J115&lt;&gt;"-",$J115,$K115&lt;&gt;"-",$K115,$L115&lt;&gt;"-",$L115,$M115&lt;&gt;"-",$M115,$N115&lt;&gt;"-",$N115,$O115&lt;&gt;"-",$O115,$P115&lt;&gt;"-",$P115,$Q115&lt;&gt;"-",$Q115,$R115&lt;&gt;"-",$R115,$S115&lt;&gt;"-",$S115,TRUE(),"-")</f>
        <v>#NAME?</v>
      </c>
      <c r="C115" s="150" t="str">
        <f t="shared" ca="1" si="24"/>
        <v>Baixo</v>
      </c>
      <c r="D115" s="158" t="e">
        <f ca="1">IF(B115="-","-",MATCH(C115,Graficos!$A$72:$A$75,0)-MATCH(B115,Graficos!$A$72:$A$75,0))</f>
        <v>#NAME?</v>
      </c>
      <c r="E115" s="12" t="str">
        <f ca="1">BD!B115</f>
        <v>Moderado</v>
      </c>
      <c r="F115" s="12" t="str">
        <f ca="1">IF(F$148,IF(BD!C115="-",E115,BD!C115),"-")</f>
        <v>Baixo</v>
      </c>
      <c r="G115" s="12" t="str">
        <f ca="1">IF(G$148,IF(BD!D115="-",F115,BD!D115),"-")</f>
        <v>Baixo</v>
      </c>
      <c r="H115" s="12" t="str">
        <f ca="1">IF(H$148,IF(BD!E115="-",G115,BD!E115),"-")</f>
        <v>Baixo</v>
      </c>
      <c r="I115" s="12" t="str">
        <f ca="1">IF(I$148,IF(BD!F115="-",H115,BD!F115),"-")</f>
        <v>Baixo</v>
      </c>
      <c r="J115" s="12" t="str">
        <f ca="1">IF(J$148,IF(BD!G115="-",I115,BD!G115),"-")</f>
        <v>Baixo</v>
      </c>
      <c r="K115" s="12" t="str">
        <f ca="1">IF(K$148,IF(BD!H115="-",J115,BD!H115),"-")</f>
        <v>Baixo</v>
      </c>
      <c r="L115" s="12" t="str">
        <f ca="1">IF(L$148,IF(BD!I115="-",K115,BD!I115),"-")</f>
        <v>Baixo</v>
      </c>
      <c r="M115" s="12" t="str">
        <f ca="1">IF(M$148,IF(BD!J115="-",L115,BD!J115),"-")</f>
        <v>Baixo</v>
      </c>
      <c r="N115" s="12" t="str">
        <f ca="1">IF(N$148,IF(BD!K115="-",M115,BD!K115),"-")</f>
        <v>Baixo</v>
      </c>
      <c r="O115" s="12" t="str">
        <f ca="1">IF(O$148,IF(BD!L115="-",N115,BD!L115),"-")</f>
        <v>Baixo</v>
      </c>
      <c r="P115" s="12" t="str">
        <f ca="1">IF(P$148,IF(BD!M115="-",O115,BD!M115),"-")</f>
        <v>Baixo</v>
      </c>
      <c r="Q115" s="12" t="str">
        <f ca="1">IF(Q$148,IF(BD!N115="-",P115,BD!N115),"-")</f>
        <v>Baixo</v>
      </c>
      <c r="R115" s="12" t="str">
        <f ca="1">IF(R$148,IF(BD!O115="-",Q115,BD!O115),"-")</f>
        <v>Baixo</v>
      </c>
      <c r="S115" s="12" t="str">
        <f ca="1">IF(S$148,IF(BD!P115="-",R115,BD!P115),"-")</f>
        <v>Baixo</v>
      </c>
    </row>
    <row r="116" spans="1:19">
      <c r="B116" s="154"/>
      <c r="C116" s="150"/>
      <c r="D116" s="156"/>
      <c r="E116" s="12"/>
      <c r="F116" s="12"/>
      <c r="G116" s="12"/>
      <c r="H116" s="12"/>
      <c r="I116" s="12"/>
      <c r="J116" s="12"/>
      <c r="K116" s="12"/>
      <c r="L116" s="12"/>
      <c r="M116" s="12"/>
      <c r="N116" s="12"/>
      <c r="O116" s="12"/>
      <c r="P116" s="12"/>
      <c r="Q116" s="12"/>
      <c r="R116" s="12"/>
      <c r="S116" s="12"/>
    </row>
    <row r="117" spans="1:19">
      <c r="A117" s="34" t="str">
        <f>BD!A117</f>
        <v>RML Abdominal</v>
      </c>
      <c r="B117" s="150" t="e">
        <f t="shared" ref="B117:B118" ca="1" si="26">_xludf.IFS($E117+0&gt;0,$E117,$F117+0&gt;0,$F117,$G117+0&gt;0,$G117,$H117+0&gt;0,$H117,$I117+0&gt;0,$I117,$J117+0&gt;0,$J117,$K117+0&gt;0,$K117,$L117+0&gt;0,$L117,$M117+0&gt;0,$M117,$N117+0&gt;0,$N117,$O117+0&gt;0,$O117,$P117+0&gt;0,$P117,$Q117+0&gt;0,$Q117,$R117+0&gt;0,$R117,$S117+0&gt;0,$S117,TRUE(),"-")</f>
        <v>#NAME?</v>
      </c>
      <c r="C117" s="155">
        <f t="shared" ref="C117:C120" ca="1" si="27">OFFSET(D117,0,$A$147)</f>
        <v>56</v>
      </c>
      <c r="D117" s="156" t="e">
        <f t="shared" ref="D117:D118" ca="1" si="28">IF(OR(B117=0,B117="-"),"-",((C117-B117)/B117)*100)</f>
        <v>#NAME?</v>
      </c>
      <c r="E117" s="147">
        <f>IF(E$2,IF(BD!B117="-",0,BD!B117+0),0)</f>
        <v>55</v>
      </c>
      <c r="F117" s="147">
        <f>IF(F$148,IF(OR(BD!C117=0,BD!C117="-"),E117,BD!C117),"")</f>
        <v>60</v>
      </c>
      <c r="G117" s="147">
        <f>IF(G$148,IF(OR(BD!D117=0,BD!D117="-"),F117,BD!D117),"")</f>
        <v>60</v>
      </c>
      <c r="H117" s="147">
        <f>IF(H$148,IF(OR(BD!E117=0,BD!E117="-"),G117,BD!E117),"")</f>
        <v>60</v>
      </c>
      <c r="I117" s="147">
        <f>IF(I$148,IF(OR(BD!F117=0,BD!F117="-"),H117,BD!F117),"")</f>
        <v>60</v>
      </c>
      <c r="J117" s="147">
        <f>IF(J$148,IF(OR(BD!G117=0,BD!G117="-"),I117,BD!G117),"")</f>
        <v>60</v>
      </c>
      <c r="K117" s="147">
        <f>IF(K$148,IF(OR(BD!H117=0,BD!H117="-"),J117,BD!H117),"")</f>
        <v>60</v>
      </c>
      <c r="L117" s="147">
        <f>IF(L$148,IF(OR(BD!I117=0,BD!I117="-"),K117,BD!I117),"")</f>
        <v>60</v>
      </c>
      <c r="M117" s="147">
        <f>IF(M$148,IF(OR(BD!J117=0,BD!J117="-"),L117,BD!J117),"")</f>
        <v>57</v>
      </c>
      <c r="N117" s="147">
        <f>IF(N$148,IF(OR(BD!K117=0,BD!K117="-"),M117,BD!K117),"")</f>
        <v>56</v>
      </c>
      <c r="O117" s="147">
        <f>IF(O$148,IF(OR(BD!L117=0,BD!L117="-"),N117,BD!L117),"")</f>
        <v>56</v>
      </c>
      <c r="P117" s="147">
        <f>IF(P$148,IF(OR(BD!M117=0,BD!M117="-"),O117,BD!M117),"")</f>
        <v>56</v>
      </c>
      <c r="Q117" s="12">
        <f>IF(Q$148,IF(OR(BD!N117=0,BD!N117="-"),P117,BD!N117),"")</f>
        <v>56</v>
      </c>
      <c r="R117" s="12">
        <f>IF(R$148,IF(OR(BD!O117=0,BD!O117="-"),Q117,BD!O117),"")</f>
        <v>56</v>
      </c>
      <c r="S117" s="12">
        <f>IF(S$148,IF(OR(BD!P117=0,BD!P117="-"),R117,BD!P117),"")</f>
        <v>56</v>
      </c>
    </row>
    <row r="118" spans="1:19">
      <c r="A118" s="34" t="str">
        <f>BD!A118</f>
        <v>Flexibilidade</v>
      </c>
      <c r="B118" s="150" t="e">
        <f t="shared" ca="1" si="26"/>
        <v>#NAME?</v>
      </c>
      <c r="C118" s="155">
        <f t="shared" ca="1" si="27"/>
        <v>31</v>
      </c>
      <c r="D118" s="156" t="e">
        <f t="shared" ca="1" si="28"/>
        <v>#NAME?</v>
      </c>
      <c r="E118" s="147">
        <f>IF(E$2,IF(BD!B118="-",0,BD!B118+0),0)</f>
        <v>27.2</v>
      </c>
      <c r="F118" s="147">
        <f>IF(F$148,IF(OR(BD!C118=0,BD!C118="-"),E118,BD!C118),"")</f>
        <v>31.5</v>
      </c>
      <c r="G118" s="147">
        <f>IF(G$148,IF(OR(BD!D118=0,BD!D118="-"),F118,BD!D118),"")</f>
        <v>31.5</v>
      </c>
      <c r="H118" s="147">
        <f>IF(H$148,IF(OR(BD!E118=0,BD!E118="-"),G118,BD!E118),"")</f>
        <v>31</v>
      </c>
      <c r="I118" s="147">
        <f>IF(I$148,IF(OR(BD!F118=0,BD!F118="-"),H118,BD!F118),"")</f>
        <v>32</v>
      </c>
      <c r="J118" s="147">
        <f>IF(J$148,IF(OR(BD!G118=0,BD!G118="-"),I118,BD!G118),"")</f>
        <v>32</v>
      </c>
      <c r="K118" s="147">
        <f>IF(K$148,IF(OR(BD!H118=0,BD!H118="-"),J118,BD!H118),"")</f>
        <v>32</v>
      </c>
      <c r="L118" s="147">
        <f>IF(L$148,IF(OR(BD!I118=0,BD!I118="-"),K118,BD!I118),"")</f>
        <v>32</v>
      </c>
      <c r="M118" s="147">
        <f>IF(M$148,IF(OR(BD!J118=0,BD!J118="-"),L118,BD!J118),"")</f>
        <v>31</v>
      </c>
      <c r="N118" s="147">
        <f>IF(N$148,IF(OR(BD!K118=0,BD!K118="-"),M118,BD!K118),"")</f>
        <v>31</v>
      </c>
      <c r="O118" s="147">
        <f>IF(O$148,IF(OR(BD!L118=0,BD!L118="-"),N118,BD!L118),"")</f>
        <v>31</v>
      </c>
      <c r="P118" s="147">
        <f>IF(P$148,IF(OR(BD!M118=0,BD!M118="-"),O118,BD!M118),"")</f>
        <v>31</v>
      </c>
      <c r="Q118" s="12">
        <f>IF(Q$148,IF(OR(BD!N118=0,BD!N118="-"),P118,BD!N118),"")</f>
        <v>31</v>
      </c>
      <c r="R118" s="12">
        <f>IF(R$148,IF(OR(BD!O118=0,BD!O118="-"),Q118,BD!O118),"")</f>
        <v>31</v>
      </c>
      <c r="S118" s="12">
        <f>IF(S$148,IF(OR(BD!P118=0,BD!P118="-"),R118,BD!P118),"")</f>
        <v>31</v>
      </c>
    </row>
    <row r="119" spans="1:19">
      <c r="A119" s="34" t="str">
        <f>BD!A119</f>
        <v>R. Abdominal</v>
      </c>
      <c r="B119" s="150" t="e">
        <f t="shared" ref="B119:B120" ca="1" si="29">_xludf.IFS($E119&lt;&gt;"-",$E119,$F119&lt;&gt;"-",$F119,$G119&lt;&gt;"-",$G119,$H119&lt;&gt;"-",$H119,$I119&lt;&gt;"-",$I119,$J119&lt;&gt;"-",$J119,$K119&lt;&gt;"-",$K119,$L119&lt;&gt;"-",$L119,$M119&lt;&gt;"-",$M119,$N119&lt;&gt;"-",$N119,$O119&lt;&gt;"-",$O119,$P119&lt;&gt;"-",$P119,$Q119&lt;&gt;"-",$Q119,$R119&lt;&gt;"-",$R119,$S119&lt;&gt;"-",$S119,TRUE(),"-")</f>
        <v>#NAME?</v>
      </c>
      <c r="C119" s="150" t="str">
        <f t="shared" ca="1" si="27"/>
        <v>Excelente</v>
      </c>
      <c r="D119" s="158" t="e">
        <f ca="1">IF(B119="-","-",MATCH(C119,Graficos!$A$103:$A$107,0)-MATCH(B119,Graficos!$A$103:$A$107,0))</f>
        <v>#NAME?</v>
      </c>
      <c r="E119" s="12" t="str">
        <f ca="1">BD!B119</f>
        <v>Excelente</v>
      </c>
      <c r="F119" s="12" t="str">
        <f ca="1">IF(F$148,IF(BD!C119="-",E119,BD!C119),"-")</f>
        <v>Excelente</v>
      </c>
      <c r="G119" s="12" t="str">
        <f ca="1">IF(G$148,IF(BD!D119="-",F119,BD!D119),"-")</f>
        <v>Excelente</v>
      </c>
      <c r="H119" s="12" t="str">
        <f ca="1">IF(H$148,IF(BD!E119="-",G119,BD!E119),"-")</f>
        <v>Excelente</v>
      </c>
      <c r="I119" s="12" t="str">
        <f ca="1">IF(I$148,IF(BD!F119="-",H119,BD!F119),"-")</f>
        <v>Excelente</v>
      </c>
      <c r="J119" s="12" t="str">
        <f ca="1">IF(J$148,IF(BD!G119="-",I119,BD!G119),"-")</f>
        <v>Excelente</v>
      </c>
      <c r="K119" s="12" t="str">
        <f ca="1">IF(K$148,IF(BD!H119="-",J119,BD!H119),"-")</f>
        <v>Excelente</v>
      </c>
      <c r="L119" s="12" t="str">
        <f ca="1">IF(L$148,IF(BD!I119="-",K119,BD!I119),"-")</f>
        <v>Excelente</v>
      </c>
      <c r="M119" s="12" t="str">
        <f ca="1">IF(M$148,IF(BD!J119="-",L119,BD!J119),"-")</f>
        <v>Excelente</v>
      </c>
      <c r="N119" s="12" t="str">
        <f ca="1">IF(N$148,IF(BD!K119="-",M119,BD!K119),"-")</f>
        <v>Excelente</v>
      </c>
      <c r="O119" s="12" t="str">
        <f ca="1">IF(O$148,IF(BD!L119="-",N119,BD!L119),"-")</f>
        <v>Excelente</v>
      </c>
      <c r="P119" s="12" t="str">
        <f ca="1">IF(P$148,IF(BD!M119="-",O119,BD!M119),"-")</f>
        <v>Excelente</v>
      </c>
      <c r="Q119" s="12" t="str">
        <f ca="1">IF(Q$148,IF(BD!N119="-",P119,BD!N119),"-")</f>
        <v>Excelente</v>
      </c>
      <c r="R119" s="12" t="str">
        <f ca="1">IF(R$148,IF(BD!O119="-",Q119,BD!O119),"-")</f>
        <v>Excelente</v>
      </c>
      <c r="S119" s="12" t="str">
        <f ca="1">IF(S$148,IF(BD!P119="-",R119,BD!P119),"-")</f>
        <v>Excelente</v>
      </c>
    </row>
    <row r="120" spans="1:19">
      <c r="A120" s="34" t="str">
        <f>BD!A120</f>
        <v>R. Flexibilidade</v>
      </c>
      <c r="B120" s="150" t="e">
        <f t="shared" ca="1" si="29"/>
        <v>#NAME?</v>
      </c>
      <c r="C120" s="150" t="str">
        <f t="shared" ca="1" si="27"/>
        <v>Acima da Média</v>
      </c>
      <c r="D120" s="158" t="e">
        <f ca="1">IF(B120="-","-",MATCH(C120,Graficos!$A$103:$A$107,0)-MATCH(B120,Graficos!$A$103:$A$107,0))</f>
        <v>#NAME?</v>
      </c>
      <c r="E120" s="12" t="str">
        <f ca="1">BD!B120</f>
        <v>Bom</v>
      </c>
      <c r="F120" s="12" t="str">
        <f ca="1">IF(F$148,IF(BD!C120="-",E120,BD!C120),"-")</f>
        <v>Acima da Média</v>
      </c>
      <c r="G120" s="12" t="str">
        <f ca="1">IF(G$148,IF(BD!D120="-",F120,BD!D120),"-")</f>
        <v>Acima da Média</v>
      </c>
      <c r="H120" s="12" t="str">
        <f ca="1">IF(H$148,IF(BD!E120="-",G120,BD!E120),"-")</f>
        <v>Acima da Média</v>
      </c>
      <c r="I120" s="12" t="str">
        <f ca="1">IF(I$148,IF(BD!F120="-",H120,BD!F120),"-")</f>
        <v>Acima da Média</v>
      </c>
      <c r="J120" s="12" t="str">
        <f ca="1">IF(J$148,IF(BD!G120="-",I120,BD!G120),"-")</f>
        <v>Acima da Média</v>
      </c>
      <c r="K120" s="12" t="str">
        <f ca="1">IF(K$148,IF(BD!H120="-",J120,BD!H120),"-")</f>
        <v>Acima da Média</v>
      </c>
      <c r="L120" s="12" t="str">
        <f ca="1">IF(L$148,IF(BD!I120="-",K120,BD!I120),"-")</f>
        <v>Acima da Média</v>
      </c>
      <c r="M120" s="12" t="str">
        <f ca="1">IF(M$148,IF(BD!J120="-",L120,BD!J120),"-")</f>
        <v>Acima da Média</v>
      </c>
      <c r="N120" s="12" t="str">
        <f ca="1">IF(N$148,IF(BD!K120="-",M120,BD!K120),"-")</f>
        <v>Acima da Média</v>
      </c>
      <c r="O120" s="12" t="str">
        <f ca="1">IF(O$148,IF(BD!L120="-",N120,BD!L120),"-")</f>
        <v>Acima da Média</v>
      </c>
      <c r="P120" s="12" t="str">
        <f ca="1">IF(P$148,IF(BD!M120="-",O120,BD!M120),"-")</f>
        <v>Acima da Média</v>
      </c>
      <c r="Q120" s="12" t="str">
        <f ca="1">IF(Q$148,IF(BD!N120="-",P120,BD!N120),"-")</f>
        <v>Acima da Média</v>
      </c>
      <c r="R120" s="12" t="str">
        <f ca="1">IF(R$148,IF(BD!O120="-",Q120,BD!O120),"-")</f>
        <v>Acima da Média</v>
      </c>
      <c r="S120" s="12" t="str">
        <f ca="1">IF(S$148,IF(BD!P120="-",R120,BD!P120),"-")</f>
        <v>Acima da Média</v>
      </c>
    </row>
    <row r="121" spans="1:19">
      <c r="B121" s="154"/>
      <c r="C121" s="150"/>
      <c r="D121" s="156"/>
      <c r="E121" s="12"/>
      <c r="F121" s="12"/>
      <c r="G121" s="12"/>
      <c r="H121" s="12"/>
      <c r="I121" s="12"/>
      <c r="J121" s="12"/>
      <c r="K121" s="12"/>
      <c r="L121" s="12"/>
      <c r="M121" s="12"/>
      <c r="N121" s="12"/>
      <c r="O121" s="12"/>
      <c r="P121" s="12"/>
      <c r="Q121" s="12"/>
      <c r="R121" s="12"/>
      <c r="S121" s="12"/>
    </row>
    <row r="122" spans="1:19">
      <c r="B122" s="154"/>
      <c r="C122" s="150"/>
      <c r="D122" s="156"/>
      <c r="E122" s="12"/>
      <c r="F122" s="12"/>
      <c r="G122" s="12"/>
      <c r="H122" s="12"/>
      <c r="I122" s="12"/>
      <c r="J122" s="12"/>
      <c r="K122" s="12"/>
      <c r="L122" s="12"/>
      <c r="M122" s="12"/>
      <c r="N122" s="12"/>
      <c r="O122" s="12"/>
      <c r="P122" s="12"/>
      <c r="Q122" s="12"/>
      <c r="R122" s="12"/>
      <c r="S122" s="12"/>
    </row>
    <row r="123" spans="1:19">
      <c r="A123" s="34">
        <f>BD!A123</f>
        <v>0</v>
      </c>
      <c r="B123" s="150"/>
      <c r="C123" s="150"/>
      <c r="D123" s="156"/>
      <c r="E123" s="12"/>
      <c r="F123" s="12"/>
      <c r="G123" s="12"/>
      <c r="H123" s="12"/>
      <c r="I123" s="12"/>
      <c r="J123" s="12"/>
      <c r="K123" s="12"/>
      <c r="L123" s="12"/>
      <c r="M123" s="12"/>
      <c r="N123" s="12"/>
      <c r="O123" s="12"/>
      <c r="P123" s="12"/>
      <c r="Q123" s="12"/>
      <c r="R123" s="12"/>
      <c r="S123" s="12"/>
    </row>
    <row r="124" spans="1:19">
      <c r="A124" s="34" t="str">
        <f>BD!A124</f>
        <v>Supino Carga Teste</v>
      </c>
      <c r="B124" s="150"/>
      <c r="C124" s="150"/>
      <c r="D124" s="156"/>
      <c r="E124" s="12">
        <f>IF(E$2,IF(BD!B124="-",0,BD!B124+0),0)</f>
        <v>0</v>
      </c>
      <c r="F124" s="12">
        <f>IF(F$148,IF(OR(BD!C124=0,BD!C124="-"),E124,BD!C124),"")</f>
        <v>0</v>
      </c>
      <c r="G124" s="12">
        <f>IF(G$148,IF(OR(BD!D124=0,BD!D124="-"),F124,BD!D124),"")</f>
        <v>0</v>
      </c>
      <c r="H124" s="12">
        <f>IF(H$148,IF(OR(BD!E124=0,BD!E124="-"),G124,BD!E124),"")</f>
        <v>0</v>
      </c>
      <c r="I124" s="12">
        <f>IF(I$148,IF(OR(BD!F124=0,BD!F124="-"),H124,BD!F124),"")</f>
        <v>0</v>
      </c>
      <c r="J124" s="12">
        <f>IF(J$148,IF(OR(BD!G124=0,BD!G124="-"),I124,BD!G124),"")</f>
        <v>0</v>
      </c>
      <c r="K124" s="12">
        <f>IF(K$148,IF(OR(BD!H124=0,BD!H124="-"),J124,BD!H124),"")</f>
        <v>0</v>
      </c>
      <c r="L124" s="12">
        <f>IF(L$148,IF(OR(BD!I124=0,BD!I124="-"),K124,BD!I124),"")</f>
        <v>0</v>
      </c>
      <c r="M124" s="12">
        <f>IF(M$148,IF(OR(BD!J124=0,BD!J124="-"),L124,BD!J124),"")</f>
        <v>0</v>
      </c>
      <c r="N124" s="12">
        <f>IF(N$148,IF(OR(BD!K124=0,BD!K124="-"),M124,BD!K124),"")</f>
        <v>0</v>
      </c>
      <c r="O124" s="12">
        <f>IF(O$148,IF(OR(BD!L124=0,BD!L124="-"),N124,BD!L124),"")</f>
        <v>0</v>
      </c>
      <c r="P124" s="12">
        <f>IF(P$148,IF(OR(BD!M124=0,BD!M124="-"),O124,BD!M124),"")</f>
        <v>0</v>
      </c>
      <c r="Q124" s="12">
        <f>IF(Q$148,IF(OR(BD!N124=0,BD!N124="-"),P124,BD!N124),"")</f>
        <v>0</v>
      </c>
      <c r="R124" s="12">
        <f>IF(R$148,IF(OR(BD!O124=0,BD!O124="-"),Q124,BD!O124),"")</f>
        <v>0</v>
      </c>
      <c r="S124" s="12">
        <f>IF(S$148,IF(OR(BD!P124=0,BD!P124="-"),R124,BD!P124),"")</f>
        <v>0</v>
      </c>
    </row>
    <row r="125" spans="1:19">
      <c r="A125" s="34" t="str">
        <f>BD!A125</f>
        <v>Supino Repetições</v>
      </c>
      <c r="B125" s="150"/>
      <c r="C125" s="150"/>
      <c r="D125" s="156"/>
      <c r="E125" s="12">
        <f>IF(E$2,IF(BD!B125="-",0,BD!B125+0),0)</f>
        <v>0</v>
      </c>
      <c r="F125" s="12">
        <f>IF(F$148,IF(OR(BD!C125=0,BD!C125="-"),E125,BD!C125),"")</f>
        <v>0</v>
      </c>
      <c r="G125" s="12">
        <f>IF(G$148,IF(OR(BD!D125=0,BD!D125="-"),F125,BD!D125),"")</f>
        <v>0</v>
      </c>
      <c r="H125" s="12">
        <f>IF(H$148,IF(OR(BD!E125=0,BD!E125="-"),G125,BD!E125),"")</f>
        <v>0</v>
      </c>
      <c r="I125" s="12">
        <f>IF(I$148,IF(OR(BD!F125=0,BD!F125="-"),H125,BD!F125),"")</f>
        <v>0</v>
      </c>
      <c r="J125" s="12">
        <f>IF(J$148,IF(OR(BD!G125=0,BD!G125="-"),I125,BD!G125),"")</f>
        <v>0</v>
      </c>
      <c r="K125" s="12">
        <f>IF(K$148,IF(OR(BD!H125=0,BD!H125="-"),J125,BD!H125),"")</f>
        <v>0</v>
      </c>
      <c r="L125" s="12">
        <f>IF(L$148,IF(OR(BD!I125=0,BD!I125="-"),K125,BD!I125),"")</f>
        <v>0</v>
      </c>
      <c r="M125" s="12">
        <f>IF(M$148,IF(OR(BD!J125=0,BD!J125="-"),L125,BD!J125),"")</f>
        <v>0</v>
      </c>
      <c r="N125" s="12">
        <f>IF(N$148,IF(OR(BD!K125=0,BD!K125="-"),M125,BD!K125),"")</f>
        <v>0</v>
      </c>
      <c r="O125" s="12">
        <f>IF(O$148,IF(OR(BD!L125=0,BD!L125="-"),N125,BD!L125),"")</f>
        <v>0</v>
      </c>
      <c r="P125" s="12">
        <f>IF(P$148,IF(OR(BD!M125=0,BD!M125="-"),O125,BD!M125),"")</f>
        <v>0</v>
      </c>
      <c r="Q125" s="12">
        <f>IF(Q$148,IF(OR(BD!N125=0,BD!N125="-"),P125,BD!N125),"")</f>
        <v>0</v>
      </c>
      <c r="R125" s="12">
        <f>IF(R$148,IF(OR(BD!O125=0,BD!O125="-"),Q125,BD!O125),"")</f>
        <v>0</v>
      </c>
      <c r="S125" s="12">
        <f>IF(S$148,IF(OR(BD!P125=0,BD!P125="-"),R125,BD!P125),"")</f>
        <v>0</v>
      </c>
    </row>
    <row r="126" spans="1:19">
      <c r="A126" s="34" t="str">
        <f>BD!A126</f>
        <v>Leg Press Carga Teste</v>
      </c>
      <c r="B126" s="150"/>
      <c r="C126" s="150"/>
      <c r="D126" s="156"/>
      <c r="E126" s="12">
        <f>IF(E$2,IF(BD!B126="-",0,BD!B126+0),0)</f>
        <v>0</v>
      </c>
      <c r="F126" s="12">
        <f>IF(F$148,IF(OR(BD!C126=0,BD!C126="-"),E126,BD!C126),"")</f>
        <v>0</v>
      </c>
      <c r="G126" s="12">
        <f>IF(G$148,IF(OR(BD!D126=0,BD!D126="-"),F126,BD!D126),"")</f>
        <v>0</v>
      </c>
      <c r="H126" s="12">
        <f>IF(H$148,IF(OR(BD!E126=0,BD!E126="-"),G126,BD!E126),"")</f>
        <v>0</v>
      </c>
      <c r="I126" s="12">
        <f>IF(I$148,IF(OR(BD!F126=0,BD!F126="-"),H126,BD!F126),"")</f>
        <v>0</v>
      </c>
      <c r="J126" s="12">
        <f>IF(J$148,IF(OR(BD!G126=0,BD!G126="-"),I126,BD!G126),"")</f>
        <v>0</v>
      </c>
      <c r="K126" s="12">
        <f>IF(K$148,IF(OR(BD!H126=0,BD!H126="-"),J126,BD!H126),"")</f>
        <v>0</v>
      </c>
      <c r="L126" s="12">
        <f>IF(L$148,IF(OR(BD!I126=0,BD!I126="-"),K126,BD!I126),"")</f>
        <v>0</v>
      </c>
      <c r="M126" s="12">
        <f>IF(M$148,IF(OR(BD!J126=0,BD!J126="-"),L126,BD!J126),"")</f>
        <v>0</v>
      </c>
      <c r="N126" s="12">
        <f>IF(N$148,IF(OR(BD!K126=0,BD!K126="-"),M126,BD!K126),"")</f>
        <v>0</v>
      </c>
      <c r="O126" s="12">
        <f>IF(O$148,IF(OR(BD!L126=0,BD!L126="-"),N126,BD!L126),"")</f>
        <v>0</v>
      </c>
      <c r="P126" s="12">
        <f>IF(P$148,IF(OR(BD!M126=0,BD!M126="-"),O126,BD!M126),"")</f>
        <v>0</v>
      </c>
      <c r="Q126" s="12">
        <f>IF(Q$148,IF(OR(BD!N126=0,BD!N126="-"),P126,BD!N126),"")</f>
        <v>0</v>
      </c>
      <c r="R126" s="12">
        <f>IF(R$148,IF(OR(BD!O126=0,BD!O126="-"),Q126,BD!O126),"")</f>
        <v>0</v>
      </c>
      <c r="S126" s="12">
        <f>IF(S$148,IF(OR(BD!P126=0,BD!P126="-"),R126,BD!P126),"")</f>
        <v>0</v>
      </c>
    </row>
    <row r="127" spans="1:19">
      <c r="A127" s="34" t="str">
        <f>BD!A127</f>
        <v>Leg Press Repetições</v>
      </c>
      <c r="B127" s="150"/>
      <c r="C127" s="150"/>
      <c r="D127" s="156"/>
      <c r="E127" s="12">
        <f>IF(E$2,IF(BD!B127="-",0,BD!B127+0),0)</f>
        <v>0</v>
      </c>
      <c r="F127" s="12">
        <f>IF(F$148,IF(OR(BD!C127=0,BD!C127="-"),E127,BD!C127),"")</f>
        <v>0</v>
      </c>
      <c r="G127" s="12">
        <f>IF(G$148,IF(OR(BD!D127=0,BD!D127="-"),F127,BD!D127),"")</f>
        <v>0</v>
      </c>
      <c r="H127" s="12">
        <f>IF(H$148,IF(OR(BD!E127=0,BD!E127="-"),G127,BD!E127),"")</f>
        <v>0</v>
      </c>
      <c r="I127" s="12">
        <f>IF(I$148,IF(OR(BD!F127=0,BD!F127="-"),H127,BD!F127),"")</f>
        <v>0</v>
      </c>
      <c r="J127" s="12">
        <f>IF(J$148,IF(OR(BD!G127=0,BD!G127="-"),I127,BD!G127),"")</f>
        <v>0</v>
      </c>
      <c r="K127" s="12">
        <f>IF(K$148,IF(OR(BD!H127=0,BD!H127="-"),J127,BD!H127),"")</f>
        <v>0</v>
      </c>
      <c r="L127" s="12">
        <f>IF(L$148,IF(OR(BD!I127=0,BD!I127="-"),K127,BD!I127),"")</f>
        <v>0</v>
      </c>
      <c r="M127" s="12">
        <f>IF(M$148,IF(OR(BD!J127=0,BD!J127="-"),L127,BD!J127),"")</f>
        <v>0</v>
      </c>
      <c r="N127" s="12">
        <f>IF(N$148,IF(OR(BD!K127=0,BD!K127="-"),M127,BD!K127),"")</f>
        <v>0</v>
      </c>
      <c r="O127" s="12">
        <f>IF(O$148,IF(OR(BD!L127=0,BD!L127="-"),N127,BD!L127),"")</f>
        <v>0</v>
      </c>
      <c r="P127" s="12">
        <f>IF(P$148,IF(OR(BD!M127=0,BD!M127="-"),O127,BD!M127),"")</f>
        <v>0</v>
      </c>
      <c r="Q127" s="12">
        <f>IF(Q$148,IF(OR(BD!N127=0,BD!N127="-"),P127,BD!N127),"")</f>
        <v>0</v>
      </c>
      <c r="R127" s="12">
        <f>IF(R$148,IF(OR(BD!O127=0,BD!O127="-"),Q127,BD!O127),"")</f>
        <v>0</v>
      </c>
      <c r="S127" s="12">
        <f>IF(S$148,IF(OR(BD!P127=0,BD!P127="-"),R127,BD!P127),"")</f>
        <v>0</v>
      </c>
    </row>
    <row r="128" spans="1:19">
      <c r="A128" s="34" t="str">
        <f>BD!A128</f>
        <v>1RM - Supino Absoluto</v>
      </c>
      <c r="B128" s="150" t="e">
        <f t="shared" ref="B128:B130" ca="1" si="30">_xludf.IFS($E128+0&gt;0,$E128,$F128+0&gt;0,$F128,$G128+0&gt;0,$G128,$H128+0&gt;0,$H128,$I128+0&gt;0,$I128,$J128+0&gt;0,$J128,$K128+0&gt;0,$K128,$L128+0&gt;0,$L128,$M128+0&gt;0,$M128,$N128+0&gt;0,$N128,$O128+0&gt;0,$O128,$P128+0&gt;0,$P128,$Q128+0&gt;0,$Q128,$R128+0&gt;0,$R128,$S128+0&gt;0,$S128,TRUE(),"-")</f>
        <v>#NAME?</v>
      </c>
      <c r="C128" s="150">
        <f t="shared" ref="C128:C130" ca="1" si="31">OFFSET(D128,0,$A$147)</f>
        <v>0</v>
      </c>
      <c r="D128" s="156" t="e">
        <f t="shared" ref="D128:D130" ca="1" si="32">IF(OR(B128=0,B128="-"),"-",((C128-B128)/B128)*100)</f>
        <v>#NAME?</v>
      </c>
      <c r="E128" s="12">
        <f>IF(E$2,IF(BD!B128="-",0,BD!B128+0),0)</f>
        <v>0</v>
      </c>
      <c r="F128" s="12">
        <f>IF(F$148,IF(OR(BD!C128=0,BD!C128="-"),E128,BD!C128),"")</f>
        <v>0</v>
      </c>
      <c r="G128" s="12">
        <f>IF(G$148,IF(OR(BD!D128=0,BD!D128="-"),F128,BD!D128),"")</f>
        <v>0</v>
      </c>
      <c r="H128" s="12">
        <f>IF(H$148,IF(OR(BD!E128=0,BD!E128="-"),G128,BD!E128),"")</f>
        <v>0</v>
      </c>
      <c r="I128" s="12">
        <f>IF(I$148,IF(OR(BD!F128=0,BD!F128="-"),H128,BD!F128),"")</f>
        <v>0</v>
      </c>
      <c r="J128" s="12">
        <f>IF(J$148,IF(OR(BD!G128=0,BD!G128="-"),I128,BD!G128),"")</f>
        <v>0</v>
      </c>
      <c r="K128" s="12">
        <f>IF(K$148,IF(OR(BD!H128=0,BD!H128="-"),J128,BD!H128),"")</f>
        <v>0</v>
      </c>
      <c r="L128" s="12">
        <f>IF(L$148,IF(OR(BD!I128=0,BD!I128="-"),K128,BD!I128),"")</f>
        <v>0</v>
      </c>
      <c r="M128" s="12">
        <f>IF(M$148,IF(OR(BD!J128=0,BD!J128="-"),L128,BD!J128),"")</f>
        <v>0</v>
      </c>
      <c r="N128" s="12">
        <f>IF(N$148,IF(OR(BD!K128=0,BD!K128="-"),M128,BD!K128),"")</f>
        <v>0</v>
      </c>
      <c r="O128" s="12">
        <f>IF(O$148,IF(OR(BD!L128=0,BD!L128="-"),N128,BD!L128),"")</f>
        <v>0</v>
      </c>
      <c r="P128" s="12">
        <f>IF(P$148,IF(OR(BD!M128=0,BD!M128="-"),O128,BD!M128),"")</f>
        <v>0</v>
      </c>
      <c r="Q128" s="12">
        <f>IF(Q$148,IF(OR(BD!N128=0,BD!N128="-"),P128,BD!N128),"")</f>
        <v>0</v>
      </c>
      <c r="R128" s="12">
        <f>IF(R$148,IF(OR(BD!O128=0,BD!O128="-"),Q128,BD!O128),"")</f>
        <v>0</v>
      </c>
      <c r="S128" s="12">
        <f>IF(S$148,IF(OR(BD!P128=0,BD!P128="-"),R128,BD!P128),"")</f>
        <v>0</v>
      </c>
    </row>
    <row r="129" spans="1:19">
      <c r="A129" s="34" t="str">
        <f>BD!A129</f>
        <v>1RM - Leg Press Absoluto</v>
      </c>
      <c r="B129" s="150" t="e">
        <f t="shared" ca="1" si="30"/>
        <v>#NAME?</v>
      </c>
      <c r="C129" s="150">
        <f t="shared" ca="1" si="31"/>
        <v>0</v>
      </c>
      <c r="D129" s="156" t="e">
        <f t="shared" ca="1" si="32"/>
        <v>#NAME?</v>
      </c>
      <c r="E129" s="12">
        <f>IF(E$2,IF(BD!B129="-",0,BD!B129+0),0)</f>
        <v>0</v>
      </c>
      <c r="F129" s="12">
        <f>IF(F$148,IF(OR(BD!C129=0,BD!C129="-"),E129,BD!C129),"")</f>
        <v>0</v>
      </c>
      <c r="G129" s="12">
        <f>IF(G$148,IF(OR(BD!D129=0,BD!D129="-"),F129,BD!D129),"")</f>
        <v>0</v>
      </c>
      <c r="H129" s="12">
        <f>IF(H$148,IF(OR(BD!E129=0,BD!E129="-"),G129,BD!E129),"")</f>
        <v>0</v>
      </c>
      <c r="I129" s="12">
        <f>IF(I$148,IF(OR(BD!F129=0,BD!F129="-"),H129,BD!F129),"")</f>
        <v>0</v>
      </c>
      <c r="J129" s="12">
        <f>IF(J$148,IF(OR(BD!G129=0,BD!G129="-"),I129,BD!G129),"")</f>
        <v>0</v>
      </c>
      <c r="K129" s="12">
        <f>IF(K$148,IF(OR(BD!H129=0,BD!H129="-"),J129,BD!H129),"")</f>
        <v>0</v>
      </c>
      <c r="L129" s="12">
        <f>IF(L$148,IF(OR(BD!I129=0,BD!I129="-"),K129,BD!I129),"")</f>
        <v>0</v>
      </c>
      <c r="M129" s="12">
        <f>IF(M$148,IF(OR(BD!J129=0,BD!J129="-"),L129,BD!J129),"")</f>
        <v>0</v>
      </c>
      <c r="N129" s="12">
        <f>IF(N$148,IF(OR(BD!K129=0,BD!K129="-"),M129,BD!K129),"")</f>
        <v>0</v>
      </c>
      <c r="O129" s="12">
        <f>IF(O$148,IF(OR(BD!L129=0,BD!L129="-"),N129,BD!L129),"")</f>
        <v>0</v>
      </c>
      <c r="P129" s="12">
        <f>IF(P$148,IF(OR(BD!M129=0,BD!M129="-"),O129,BD!M129),"")</f>
        <v>0</v>
      </c>
      <c r="Q129" s="12">
        <f>IF(Q$148,IF(OR(BD!N129=0,BD!N129="-"),P129,BD!N129),"")</f>
        <v>0</v>
      </c>
      <c r="R129" s="12">
        <f>IF(R$148,IF(OR(BD!O129=0,BD!O129="-"),Q129,BD!O129),"")</f>
        <v>0</v>
      </c>
      <c r="S129" s="12">
        <f>IF(S$148,IF(OR(BD!P129=0,BD!P129="-"),R129,BD!P129),"")</f>
        <v>0</v>
      </c>
    </row>
    <row r="130" spans="1:19">
      <c r="A130" s="34" t="str">
        <f>BD!A130</f>
        <v>1RM - Supino Relativo</v>
      </c>
      <c r="B130" s="150" t="e">
        <f t="shared" ca="1" si="30"/>
        <v>#NAME?</v>
      </c>
      <c r="C130" s="150">
        <f t="shared" ca="1" si="31"/>
        <v>0</v>
      </c>
      <c r="D130" s="156" t="e">
        <f t="shared" ca="1" si="32"/>
        <v>#NAME?</v>
      </c>
      <c r="E130" s="12">
        <f>IF(E$2,IF(BD!B130="-",0,BD!B130+0),0)</f>
        <v>0</v>
      </c>
      <c r="F130" s="12">
        <f>IF(F$148,IF(OR(BD!C130=0,BD!C130="-"),E130,BD!C130),"")</f>
        <v>0</v>
      </c>
      <c r="G130" s="12">
        <f>IF(G$148,IF(OR(BD!D130=0,BD!D130="-"),F130,BD!D130),"")</f>
        <v>0</v>
      </c>
      <c r="H130" s="12">
        <f>IF(H$148,IF(OR(BD!E130=0,BD!E130="-"),G130,BD!E130),"")</f>
        <v>0</v>
      </c>
      <c r="I130" s="12">
        <f>IF(I$148,IF(OR(BD!F130=0,BD!F130="-"),H130,BD!F130),"")</f>
        <v>0</v>
      </c>
      <c r="J130" s="12">
        <f>IF(J$148,IF(OR(BD!G130=0,BD!G130="-"),I130,BD!G130),"")</f>
        <v>0</v>
      </c>
      <c r="K130" s="12">
        <f>IF(K$148,IF(OR(BD!H130=0,BD!H130="-"),J130,BD!H130),"")</f>
        <v>0</v>
      </c>
      <c r="L130" s="12">
        <f>IF(L$148,IF(OR(BD!I130=0,BD!I130="-"),K130,BD!I130),"")</f>
        <v>0</v>
      </c>
      <c r="M130" s="12">
        <f>IF(M$148,IF(OR(BD!J130=0,BD!J130="-"),L130,BD!J130),"")</f>
        <v>0</v>
      </c>
      <c r="N130" s="12">
        <f>IF(N$148,IF(OR(BD!K130=0,BD!K130="-"),M130,BD!K130),"")</f>
        <v>0</v>
      </c>
      <c r="O130" s="12">
        <f>IF(O$148,IF(OR(BD!L130=0,BD!L130="-"),N130,BD!L130),"")</f>
        <v>0</v>
      </c>
      <c r="P130" s="12">
        <f>IF(P$148,IF(OR(BD!M130=0,BD!M130="-"),O130,BD!M130),"")</f>
        <v>0</v>
      </c>
      <c r="Q130" s="12">
        <f>IF(Q$148,IF(OR(BD!N130=0,BD!N130="-"),P130,BD!N130),"")</f>
        <v>0</v>
      </c>
      <c r="R130" s="12">
        <f>IF(R$148,IF(OR(BD!O130=0,BD!O130="-"),Q130,BD!O130),"")</f>
        <v>0</v>
      </c>
      <c r="S130" s="12">
        <f>IF(S$148,IF(OR(BD!P130=0,BD!P130="-"),R130,BD!P130),"")</f>
        <v>0</v>
      </c>
    </row>
    <row r="131" spans="1:19">
      <c r="A131" s="34" t="str">
        <f>BD!A131</f>
        <v>R. 1RM - Supino</v>
      </c>
      <c r="B131" s="150" t="e">
        <f t="shared" ref="B131:C131" ca="1" si="33">_xludf.IFS($E131&lt;&gt;"-",$E131,$F131&lt;&gt;"-",$F131,$G131&lt;&gt;"-",$G131,$H131&lt;&gt;"-",$H131,$I131&lt;&gt;"-",$I131,$J131&lt;&gt;"-",$J131,$K131&lt;&gt;"-",$K131,$L131&lt;&gt;"-",$L131,$M131&lt;&gt;"-",$M131,$N131&lt;&gt;"-",$N131,$O131&lt;&gt;"-",$O131,$P131&lt;&gt;"-",$P131,$Q131&lt;&gt;"-",$Q131,$R131&lt;&gt;"-",$R131,$S131&lt;&gt;"-",$S131,TRUE(),"-")</f>
        <v>#NAME?</v>
      </c>
      <c r="C131" s="150" t="e">
        <f t="shared" ca="1" si="33"/>
        <v>#NAME?</v>
      </c>
      <c r="D131" s="158" t="e">
        <f ca="1">IF(B131="-","-",MATCH(C131,Graficos!$A$181:$A$185,0)-MATCH(B131,Graficos!$A$181:$A$185,0))</f>
        <v>#NAME?</v>
      </c>
      <c r="E131" s="12" t="e">
        <f>BD!B131</f>
        <v>#VALUE!</v>
      </c>
      <c r="F131" s="12" t="e">
        <f>IF(F$148,IF(BD!C131="-",E131,BD!C131),"-")</f>
        <v>#VALUE!</v>
      </c>
      <c r="G131" s="12" t="e">
        <f>IF(G$148,IF(BD!D131="-",F131,BD!D131),"-")</f>
        <v>#VALUE!</v>
      </c>
      <c r="H131" s="12" t="e">
        <f>IF(H$148,IF(BD!E131="-",G131,BD!E131),"-")</f>
        <v>#VALUE!</v>
      </c>
      <c r="I131" s="12" t="e">
        <f>IF(I$148,IF(BD!F131="-",H131,BD!F131),"-")</f>
        <v>#VALUE!</v>
      </c>
      <c r="J131" s="12" t="e">
        <f>IF(J$148,IF(BD!G131="-",I131,BD!G131),"-")</f>
        <v>#VALUE!</v>
      </c>
      <c r="K131" s="12" t="e">
        <f>IF(K$148,IF(BD!H131="-",J131,BD!H131),"-")</f>
        <v>#VALUE!</v>
      </c>
      <c r="L131" s="12" t="e">
        <f>IF(L$148,IF(BD!I131="-",K131,BD!I131),"-")</f>
        <v>#VALUE!</v>
      </c>
      <c r="M131" s="12" t="e">
        <f>IF(M$148,IF(BD!J131="-",L131,BD!J131),"-")</f>
        <v>#VALUE!</v>
      </c>
      <c r="N131" s="12" t="e">
        <f>IF(N$148,IF(BD!K131="-",M131,BD!K131),"-")</f>
        <v>#VALUE!</v>
      </c>
      <c r="O131" s="12" t="e">
        <f>IF(O$148,IF(BD!L131="-",N131,BD!L131),"-")</f>
        <v>#VALUE!</v>
      </c>
      <c r="P131" s="12" t="e">
        <f>IF(P$148,IF(BD!M131="-",O131,BD!M131),"-")</f>
        <v>#VALUE!</v>
      </c>
      <c r="Q131" s="12" t="e">
        <f>IF(Q$148,IF(BD!N131="-",P131,BD!N131),"-")</f>
        <v>#VALUE!</v>
      </c>
      <c r="R131" s="12" t="e">
        <f>IF(R$148,IF(BD!O131="-",Q131,BD!O131),"-")</f>
        <v>#VALUE!</v>
      </c>
      <c r="S131" s="12" t="e">
        <f>IF(S$148,IF(BD!P131="-",R131,BD!P131),"-")</f>
        <v>#VALUE!</v>
      </c>
    </row>
    <row r="132" spans="1:19">
      <c r="A132" s="34" t="str">
        <f>BD!A132</f>
        <v>1RM - Leg Press Relativo</v>
      </c>
      <c r="B132" s="150" t="e">
        <f ca="1">_xludf.IFS($E132+0&gt;0,$E132,$F132+0&gt;0,$F132,$G132+0&gt;0,$G132,$H132+0&gt;0,$H132,$I132+0&gt;0,$I132,$J132+0&gt;0,$J132,$K132+0&gt;0,$K132,$L132+0&gt;0,$L132,$M132+0&gt;0,$M132,$N132+0&gt;0,$N132,$O132+0&gt;0,$O132,$P132+0&gt;0,$P132,$Q132+0&gt;0,$Q132,$R132+0&gt;0,$R132,$S132+0&gt;0,$S132,TRUE(),"-")</f>
        <v>#NAME?</v>
      </c>
      <c r="C132" s="150">
        <f ca="1">OFFSET(D132,0,$A$147)</f>
        <v>0</v>
      </c>
      <c r="D132" s="156" t="e">
        <f ca="1">IF(OR(B132=0,B132="-"),"-",((C132-B132)/B132)*100)</f>
        <v>#NAME?</v>
      </c>
      <c r="E132" s="12">
        <f>IF(E$2,IF(BD!B132="-",0,BD!B132+0),0)</f>
        <v>0</v>
      </c>
      <c r="F132" s="12">
        <f>IF(F$148,IF(OR(BD!C132=0,BD!C132="-"),E132,BD!C132),"")</f>
        <v>0</v>
      </c>
      <c r="G132" s="12">
        <f>IF(G$148,IF(OR(BD!D132=0,BD!D132="-"),F132,BD!D132),"")</f>
        <v>0</v>
      </c>
      <c r="H132" s="12">
        <f>IF(H$148,IF(OR(BD!E132=0,BD!E132="-"),G132,BD!E132),"")</f>
        <v>0</v>
      </c>
      <c r="I132" s="12">
        <f>IF(I$148,IF(OR(BD!F132=0,BD!F132="-"),H132,BD!F132),"")</f>
        <v>0</v>
      </c>
      <c r="J132" s="12">
        <f>IF(J$148,IF(OR(BD!G132=0,BD!G132="-"),I132,BD!G132),"")</f>
        <v>0</v>
      </c>
      <c r="K132" s="12">
        <f>IF(K$148,IF(OR(BD!H132=0,BD!H132="-"),J132,BD!H132),"")</f>
        <v>0</v>
      </c>
      <c r="L132" s="12">
        <f>IF(L$148,IF(OR(BD!I132=0,BD!I132="-"),K132,BD!I132),"")</f>
        <v>0</v>
      </c>
      <c r="M132" s="12">
        <f>IF(M$148,IF(OR(BD!J132=0,BD!J132="-"),L132,BD!J132),"")</f>
        <v>0</v>
      </c>
      <c r="N132" s="12">
        <f>IF(N$148,IF(OR(BD!K132=0,BD!K132="-"),M132,BD!K132),"")</f>
        <v>0</v>
      </c>
      <c r="O132" s="12">
        <f>IF(O$148,IF(OR(BD!L132=0,BD!L132="-"),N132,BD!L132),"")</f>
        <v>0</v>
      </c>
      <c r="P132" s="12">
        <f>IF(P$148,IF(OR(BD!M132=0,BD!M132="-"),O132,BD!M132),"")</f>
        <v>0</v>
      </c>
      <c r="Q132" s="12">
        <f>IF(Q$148,IF(OR(BD!N132=0,BD!N132="-"),P132,BD!N132),"")</f>
        <v>0</v>
      </c>
      <c r="R132" s="12">
        <f>IF(R$148,IF(OR(BD!O132=0,BD!O132="-"),Q132,BD!O132),"")</f>
        <v>0</v>
      </c>
      <c r="S132" s="12">
        <f>IF(S$148,IF(OR(BD!P132=0,BD!P132="-"),R132,BD!P132),"")</f>
        <v>0</v>
      </c>
    </row>
    <row r="133" spans="1:19">
      <c r="A133" s="34" t="str">
        <f>BD!A133</f>
        <v>R. 1RM - Leg Press</v>
      </c>
      <c r="B133" s="150" t="e">
        <f t="shared" ref="B133:C133" ca="1" si="34">_xludf.IFS($E133&lt;&gt;"-",$E133,$F133&lt;&gt;"-",$F133,$G133&lt;&gt;"-",$G133,$H133&lt;&gt;"-",$H133,$I133&lt;&gt;"-",$I133,$J133&lt;&gt;"-",$J133,$K133&lt;&gt;"-",$K133,$L133&lt;&gt;"-",$L133,$M133&lt;&gt;"-",$M133,$N133&lt;&gt;"-",$N133,$O133&lt;&gt;"-",$O133,$P133&lt;&gt;"-",$P133,$Q133&lt;&gt;"-",$Q133,$R133&lt;&gt;"-",$R133,$S133&lt;&gt;"-",$S133,TRUE(),"-")</f>
        <v>#NAME?</v>
      </c>
      <c r="C133" s="150" t="e">
        <f t="shared" ca="1" si="34"/>
        <v>#NAME?</v>
      </c>
      <c r="D133" s="158" t="e">
        <f ca="1">IF(B133="-","-",MATCH(C133,Graficos!$A$213:$A$217,0)-MATCH(B133,Graficos!$A$213:$A$217,0))</f>
        <v>#NAME?</v>
      </c>
      <c r="E133" s="12" t="e">
        <f>BD!B133</f>
        <v>#VALUE!</v>
      </c>
      <c r="F133" s="12" t="e">
        <f>IF(F$148,IF(BD!C133="-",E133,BD!C133),"-")</f>
        <v>#VALUE!</v>
      </c>
      <c r="G133" s="12" t="e">
        <f>IF(G$148,IF(BD!D133="-",F133,BD!D133),"-")</f>
        <v>#VALUE!</v>
      </c>
      <c r="H133" s="12" t="e">
        <f>IF(H$148,IF(BD!E133="-",G133,BD!E133),"-")</f>
        <v>#VALUE!</v>
      </c>
      <c r="I133" s="12" t="e">
        <f>IF(I$148,IF(BD!F133="-",H133,BD!F133),"-")</f>
        <v>#VALUE!</v>
      </c>
      <c r="J133" s="12" t="e">
        <f>IF(J$148,IF(BD!G133="-",I133,BD!G133),"-")</f>
        <v>#VALUE!</v>
      </c>
      <c r="K133" s="12" t="e">
        <f>IF(K$148,IF(BD!H133="-",J133,BD!H133),"-")</f>
        <v>#VALUE!</v>
      </c>
      <c r="L133" s="12" t="e">
        <f>IF(L$148,IF(BD!I133="-",K133,BD!I133),"-")</f>
        <v>#VALUE!</v>
      </c>
      <c r="M133" s="12" t="e">
        <f>IF(M$148,IF(BD!J133="-",L133,BD!J133),"-")</f>
        <v>#VALUE!</v>
      </c>
      <c r="N133" s="12" t="e">
        <f>IF(N$148,IF(BD!K133="-",M133,BD!K133),"-")</f>
        <v>#VALUE!</v>
      </c>
      <c r="O133" s="12" t="e">
        <f>IF(O$148,IF(BD!L133="-",N133,BD!L133),"-")</f>
        <v>#VALUE!</v>
      </c>
      <c r="P133" s="12" t="e">
        <f>IF(P$148,IF(BD!M133="-",O133,BD!M133),"-")</f>
        <v>#VALUE!</v>
      </c>
      <c r="Q133" s="12" t="e">
        <f>IF(Q$148,IF(BD!N133="-",P133,BD!N133),"-")</f>
        <v>#VALUE!</v>
      </c>
      <c r="R133" s="12" t="e">
        <f>IF(R$148,IF(BD!O133="-",Q133,BD!O133),"-")</f>
        <v>#VALUE!</v>
      </c>
      <c r="S133" s="12" t="e">
        <f>IF(S$148,IF(BD!P133="-",R133,BD!P133),"-")</f>
        <v>#VALUE!</v>
      </c>
    </row>
    <row r="134" spans="1:19">
      <c r="B134" s="154"/>
      <c r="C134" s="150"/>
      <c r="D134" s="156"/>
      <c r="E134" s="12"/>
      <c r="F134" s="12"/>
      <c r="G134" s="12"/>
      <c r="H134" s="12"/>
      <c r="I134" s="12"/>
      <c r="J134" s="12"/>
      <c r="K134" s="12"/>
      <c r="L134" s="12"/>
      <c r="M134" s="12"/>
      <c r="N134" s="12"/>
      <c r="O134" s="12"/>
      <c r="P134" s="12"/>
      <c r="Q134" s="12"/>
      <c r="R134" s="12"/>
      <c r="S134" s="12"/>
    </row>
    <row r="135" spans="1:19">
      <c r="B135" s="154"/>
      <c r="C135" s="150"/>
      <c r="D135" s="156"/>
      <c r="E135" s="12"/>
      <c r="F135" s="12"/>
      <c r="G135" s="12"/>
      <c r="H135" s="12"/>
      <c r="I135" s="12"/>
      <c r="J135" s="12"/>
      <c r="K135" s="12"/>
      <c r="L135" s="12"/>
      <c r="M135" s="12"/>
      <c r="N135" s="12"/>
      <c r="O135" s="12"/>
      <c r="P135" s="12"/>
      <c r="Q135" s="12"/>
      <c r="R135" s="12"/>
      <c r="S135" s="12"/>
    </row>
    <row r="136" spans="1:19">
      <c r="A136" s="34" t="str">
        <f>BD!A136</f>
        <v>Protocolo</v>
      </c>
      <c r="B136" s="150"/>
      <c r="C136" s="150"/>
      <c r="D136" s="156"/>
      <c r="E136" s="12" t="str">
        <f ca="1">BD!B136</f>
        <v>-</v>
      </c>
      <c r="F136" s="12" t="str">
        <f ca="1">BD!C136</f>
        <v>-</v>
      </c>
      <c r="G136" s="12" t="str">
        <f ca="1">BD!D136</f>
        <v>-</v>
      </c>
      <c r="H136" s="12" t="str">
        <f ca="1">BD!E136</f>
        <v>Teste de Esteira Progressiva</v>
      </c>
      <c r="I136" s="12" t="str">
        <f ca="1">BD!F136</f>
        <v>Teste de Esteira Progressiva</v>
      </c>
      <c r="J136" s="12" t="str">
        <f ca="1">BD!G136</f>
        <v>Teste de Esteira Progressiva</v>
      </c>
      <c r="K136" s="12" t="str">
        <f ca="1">BD!H136</f>
        <v>Teste de Esteira Progressiva</v>
      </c>
      <c r="L136" s="12" t="str">
        <f ca="1">BD!I136</f>
        <v>Teste de Esteira Progressiva</v>
      </c>
      <c r="M136" s="12" t="str">
        <f ca="1">BD!J136</f>
        <v>Teste de Esteira Progressiva</v>
      </c>
      <c r="N136" s="12" t="str">
        <f ca="1">BD!K136</f>
        <v>Teste de Esteira Progressiva</v>
      </c>
      <c r="O136" s="12" t="str">
        <f ca="1">BD!L136</f>
        <v>-</v>
      </c>
      <c r="P136" s="12" t="str">
        <f ca="1">BD!M136</f>
        <v>-</v>
      </c>
      <c r="Q136" s="12" t="str">
        <f ca="1">BD!N136</f>
        <v>-</v>
      </c>
      <c r="R136" s="12" t="str">
        <f ca="1">BD!O136</f>
        <v>-</v>
      </c>
      <c r="S136" s="12" t="str">
        <f ca="1">BD!P136</f>
        <v>-</v>
      </c>
    </row>
    <row r="137" spans="1:19">
      <c r="A137" s="34" t="str">
        <f>BD!A137</f>
        <v>FC Repouso(bpm)</v>
      </c>
      <c r="B137" s="150" t="e">
        <f t="shared" ref="B137:B138" ca="1" si="35">_xludf.IFS($E137+0&gt;0,$E137,$F137+0&gt;0,$F137,$G137+0&gt;0,$G137,$H137+0&gt;0,$H137,$I137+0&gt;0,$I137,$J137+0&gt;0,$J137,$K137+0&gt;0,$K137,$L137+0&gt;0,$L137,$M137+0&gt;0,$M137,$N137+0&gt;0,$N137,$O137+0&gt;0,$O137,$P137+0&gt;0,$P137,$Q137+0&gt;0,$Q137,$R137+0&gt;0,$R137,$S137+0&gt;0,$S137,TRUE(),"-")</f>
        <v>#NAME?</v>
      </c>
      <c r="C137" s="150">
        <f t="shared" ref="C137:C145" ca="1" si="36">OFFSET(D137,0,$A$147)</f>
        <v>51</v>
      </c>
      <c r="D137" s="156" t="e">
        <f t="shared" ref="D137:D138" ca="1" si="37">IF(OR(B137=0,B137="-"),"-",((C137-B137)/B137)*100)</f>
        <v>#NAME?</v>
      </c>
      <c r="E137" s="12">
        <f>IF(E$2,IF(BD!B137="-",0,BD!B137+0),0)</f>
        <v>52</v>
      </c>
      <c r="F137" s="12">
        <f>IF(F$148,IF(OR(BD!C137=0,BD!C137="-"),E137,BD!C137),"")</f>
        <v>49</v>
      </c>
      <c r="G137" s="12">
        <f>IF(G$148,IF(OR(BD!D137=0,BD!D137="-"),F137,BD!D137),"")</f>
        <v>52</v>
      </c>
      <c r="H137" s="12">
        <f ca="1">IF(H$148,IF(OR(BD!E137=0,BD!E137="-"),G137,BD!E137),"")</f>
        <v>45</v>
      </c>
      <c r="I137" s="12">
        <f ca="1">IF(I$148,IF(OR(BD!F137=0,BD!F137="-"),H137,BD!F137),"")</f>
        <v>60</v>
      </c>
      <c r="J137" s="12">
        <f ca="1">IF(J$148,IF(OR(BD!G137=0,BD!G137="-"),I137,BD!G137),"")</f>
        <v>60</v>
      </c>
      <c r="K137" s="12">
        <f ca="1">IF(K$148,IF(OR(BD!H137=0,BD!H137="-"),J137,BD!H137),"")</f>
        <v>64</v>
      </c>
      <c r="L137" s="12">
        <f ca="1">IF(L$148,IF(OR(BD!I137=0,BD!I137="-"),K137,BD!I137),"")</f>
        <v>54</v>
      </c>
      <c r="M137" s="12">
        <f ca="1">IF(M$148,IF(OR(BD!J137=0,BD!J137="-"),L137,BD!J137),"")</f>
        <v>48</v>
      </c>
      <c r="N137" s="12">
        <f ca="1">IF(N$148,IF(OR(BD!K137=0,BD!K137="-"),M137,BD!K137),"")</f>
        <v>51</v>
      </c>
      <c r="O137" s="12">
        <f ca="1">IF(O$148,IF(OR(BD!L137=0,BD!L137="-"),N137,BD!L137),"")</f>
        <v>51</v>
      </c>
      <c r="P137" s="12">
        <f ca="1">IF(P$148,IF(OR(BD!M137=0,BD!M137="-"),O137,BD!M137),"")</f>
        <v>51</v>
      </c>
      <c r="Q137" s="12">
        <f ca="1">IF(Q$148,IF(OR(BD!N137=0,BD!N137="-"),P137,BD!N137),"")</f>
        <v>51</v>
      </c>
      <c r="R137" s="12">
        <f ca="1">IF(R$148,IF(OR(BD!O137=0,BD!O137="-"),Q137,BD!O137),"")</f>
        <v>51</v>
      </c>
      <c r="S137" s="12">
        <f ca="1">IF(S$148,IF(OR(BD!P137=0,BD!P137="-"),R137,BD!P137),"")</f>
        <v>51</v>
      </c>
    </row>
    <row r="138" spans="1:19">
      <c r="A138" s="34" t="str">
        <f>BD!A138</f>
        <v>VO2Máximo (ml/kg/min)</v>
      </c>
      <c r="B138" s="150" t="e">
        <f t="shared" ca="1" si="35"/>
        <v>#NAME?</v>
      </c>
      <c r="C138" s="150">
        <f t="shared" ca="1" si="36"/>
        <v>60.46</v>
      </c>
      <c r="D138" s="156" t="e">
        <f t="shared" ca="1" si="37"/>
        <v>#NAME?</v>
      </c>
      <c r="E138" s="12">
        <f>IF(E$2,IF(BD!B138="-",0,BD!B138+0),0)</f>
        <v>42.3</v>
      </c>
      <c r="F138" s="12">
        <f>IF(F$148,IF(OR(BD!C138=0,BD!C138="-"),E138,BD!C138),"")</f>
        <v>51.4</v>
      </c>
      <c r="G138" s="12">
        <f>IF(G$148,IF(OR(BD!D138=0,BD!D138="-"),F138,BD!D138),"")</f>
        <v>57.4</v>
      </c>
      <c r="H138" s="12">
        <f ca="1">IF(H$148,IF(OR(BD!E138=0,BD!E138="-"),G138,BD!E138),"")</f>
        <v>56.6</v>
      </c>
      <c r="I138" s="12">
        <f ca="1">IF(I$148,IF(OR(BD!F138=0,BD!F138="-"),H138,BD!F138),"")</f>
        <v>57.4</v>
      </c>
      <c r="J138" s="12">
        <f ca="1">IF(J$148,IF(OR(BD!G138=0,BD!G138="-"),I138,BD!G138),"")</f>
        <v>60.46</v>
      </c>
      <c r="K138" s="12">
        <f ca="1">IF(K$148,IF(OR(BD!H138=0,BD!H138="-"),J138,BD!H138),"")</f>
        <v>60.46</v>
      </c>
      <c r="L138" s="12">
        <f ca="1">IF(L$148,IF(OR(BD!I138=0,BD!I138="-"),K138,BD!I138),"")</f>
        <v>57.44</v>
      </c>
      <c r="M138" s="148" t="e">
        <f ca="1">IF(M$148,IF(OR(BD!J138=0,BD!J138="-"),L138,BD!J138),"")</f>
        <v>#NAME?</v>
      </c>
      <c r="N138" s="12">
        <f ca="1">IF(N$148,IF(OR(BD!K138=0,BD!K138="-"),M138,BD!K138),"")</f>
        <v>60.46</v>
      </c>
      <c r="O138" s="12">
        <f ca="1">IF(O$148,IF(OR(BD!L138=0,BD!L138="-"),N138,BD!L138),"")</f>
        <v>60.46</v>
      </c>
      <c r="P138" s="12">
        <f ca="1">IF(P$148,IF(OR(BD!M138=0,BD!M138="-"),O138,BD!M138),"")</f>
        <v>60.46</v>
      </c>
      <c r="Q138" s="12">
        <f ca="1">IF(Q$148,IF(OR(BD!N138=0,BD!N138="-"),P138,BD!N138),"")</f>
        <v>60.46</v>
      </c>
      <c r="R138" s="12">
        <f ca="1">IF(R$148,IF(OR(BD!O138=0,BD!O138="-"),Q138,BD!O138),"")</f>
        <v>60.46</v>
      </c>
      <c r="S138" s="12">
        <f ca="1">IF(S$148,IF(OR(BD!P138=0,BD!P138="-"),R138,BD!P138),"")</f>
        <v>60.46</v>
      </c>
    </row>
    <row r="139" spans="1:19">
      <c r="A139" s="34" t="str">
        <f>BD!A139</f>
        <v>R. VO2Máximo</v>
      </c>
      <c r="B139" s="150" t="e">
        <f ca="1">_xludf.IFS($E139&lt;&gt;"-",$E139,$F139&lt;&gt;"-",$F139,$G139&lt;&gt;"-",$G139,$H139&lt;&gt;"-",$H139,$I139&lt;&gt;"-",$I139,$J139&lt;&gt;"-",$J139,$K139&lt;&gt;"-",$K139,$L139&lt;&gt;"-",$L139,$M139&lt;&gt;"-",$M139,$N139&lt;&gt;"-",$N139,$O139&lt;&gt;"-",$O139,$P139&lt;&gt;"-",$P139,$Q139&lt;&gt;"-",$Q139,$R139&lt;&gt;"-",$R139,$S139&lt;&gt;"-",$S139,TRUE(),"-")</f>
        <v>#NAME?</v>
      </c>
      <c r="C139" s="159" t="str">
        <f t="shared" ca="1" si="36"/>
        <v>Superior</v>
      </c>
      <c r="D139" s="158" t="e">
        <f ca="1">IF(B139="-","-",MATCH(C139,Graficos!$A$246:$A$250,0)-MATCH(B139,Graficos!$A$246:$A$250,0))</f>
        <v>#NAME?</v>
      </c>
      <c r="E139" s="12" t="str">
        <f>BD!B139</f>
        <v>-</v>
      </c>
      <c r="F139" s="12" t="str">
        <f>IF(F$148,IF(BD!C139="-",E139,BD!C139),"-")</f>
        <v>-</v>
      </c>
      <c r="G139" s="12" t="str">
        <f>IF(G$148,IF(BD!D139="-",F139,BD!D139),"-")</f>
        <v>-</v>
      </c>
      <c r="H139" s="149" t="str">
        <f ca="1">IF(H$148,IF(BD!E139="-",G139,BD!E139),"-")</f>
        <v>Superior</v>
      </c>
      <c r="I139" s="149" t="str">
        <f ca="1">IF(I$148,IF(BD!F139="-",H139,BD!F139),"-")</f>
        <v>Superior</v>
      </c>
      <c r="J139" s="149" t="str">
        <f ca="1">IF(J$148,IF(BD!G139="-",I139,BD!G139),"-")</f>
        <v>Superior</v>
      </c>
      <c r="K139" s="149" t="str">
        <f ca="1">IF(K$148,IF(BD!H139="-",J139,BD!H139),"-")</f>
        <v>Superior</v>
      </c>
      <c r="L139" s="149" t="str">
        <f ca="1">IF(L$148,IF(BD!I139="-",K139,BD!I139),"-")</f>
        <v>Superior</v>
      </c>
      <c r="M139" s="149" t="e">
        <f ca="1">IF(M$148,IF(BD!J139="-",L139,BD!J139),"-")</f>
        <v>#NAME?</v>
      </c>
      <c r="N139" s="149" t="str">
        <f ca="1">IF(N$148,IF(BD!K139="-",M139,BD!K139),"-")</f>
        <v>Superior</v>
      </c>
      <c r="O139" s="149" t="str">
        <f ca="1">IF(O$148,IF(BD!L139="-",N139,BD!L139),"-")</f>
        <v>Superior</v>
      </c>
      <c r="P139" s="149" t="str">
        <f ca="1">IF(P$148,IF(BD!M139="-",O139,BD!M139),"-")</f>
        <v>Superior</v>
      </c>
      <c r="Q139" s="12" t="str">
        <f ca="1">IF(Q$148,IF(BD!N139="-",P139,BD!N139),"-")</f>
        <v>Superior</v>
      </c>
      <c r="R139" s="12" t="str">
        <f ca="1">IF(R$148,IF(BD!O139="-",Q139,BD!O139),"-")</f>
        <v>Superior</v>
      </c>
      <c r="S139" s="12" t="str">
        <f ca="1">IF(S$148,IF(BD!P139="-",R139,BD!P139),"-")</f>
        <v>Superior</v>
      </c>
    </row>
    <row r="140" spans="1:19">
      <c r="A140" s="34" t="str">
        <f>BD!A140</f>
        <v xml:space="preserve">Limiar Anaeróbico (bpm) </v>
      </c>
      <c r="B140" s="150" t="e">
        <f t="shared" ref="B140:B145" ca="1" si="38">_xludf.IFS($E140+0&gt;0,$E140,$F140+0&gt;0,$F140,$G140+0&gt;0,$G140,$H140+0&gt;0,$H140,$I140+0&gt;0,$I140,$J140+0&gt;0,$J140,$K140+0&gt;0,$K140,$L140+0&gt;0,$L140,$M140+0&gt;0,$M140,$N140+0&gt;0,$N140,$O140+0&gt;0,$O140,$P140+0&gt;0,$P140,$Q140+0&gt;0,$Q140,$R140+0&gt;0,$R140,$S140+0&gt;0,$S140,TRUE(),"-")</f>
        <v>#NAME?</v>
      </c>
      <c r="C140" s="150">
        <f t="shared" ca="1" si="36"/>
        <v>138</v>
      </c>
      <c r="D140" s="156" t="e">
        <f t="shared" ref="D140:D145" ca="1" si="39">IF(OR(B140=0,B140="-"),"-",((C140-B140)/B140)*100)</f>
        <v>#NAME?</v>
      </c>
      <c r="E140" s="12">
        <f>IF(E$2,IF(BD!B140="-",0,BD!B140+0),0)</f>
        <v>147</v>
      </c>
      <c r="F140" s="12">
        <f>IF(F$148,IF(OR(BD!C140=0,BD!C140="-"),E140,BD!C140),"")</f>
        <v>138.5</v>
      </c>
      <c r="G140" s="12">
        <f>IF(G$148,IF(OR(BD!D140=0,BD!D140="-"),F140,BD!D140),"")</f>
        <v>137</v>
      </c>
      <c r="H140" s="12">
        <f ca="1">IF(H$148,IF(OR(BD!E140=0,BD!E140="-"),G140,BD!E140),"")</f>
        <v>143</v>
      </c>
      <c r="I140" s="12">
        <f ca="1">IF(I$148,IF(OR(BD!F140=0,BD!F140="-"),H140,BD!F140),"")</f>
        <v>148</v>
      </c>
      <c r="J140" s="149">
        <f ca="1">IF(J$148,IF(OR(BD!G140=0,BD!G140="-"),I140,BD!G140),"")</f>
        <v>143.30000000000001</v>
      </c>
      <c r="K140" s="12">
        <f ca="1">IF(K$148,IF(OR(BD!H140=0,BD!H140="-"),J140,BD!H140),"")</f>
        <v>155</v>
      </c>
      <c r="L140" s="12">
        <f ca="1">IF(L$148,IF(OR(BD!I140=0,BD!I140="-"),K140,BD!I140),"")</f>
        <v>147</v>
      </c>
      <c r="M140" s="149">
        <f ca="1">IF(M$148,IF(OR(BD!J140=0,BD!J140="-"),L140,BD!J140),"")</f>
        <v>135.55000000000001</v>
      </c>
      <c r="N140" s="12">
        <f ca="1">IF(N$148,IF(OR(BD!K140=0,BD!K140="-"),M140,BD!K140),"")</f>
        <v>138</v>
      </c>
      <c r="O140" s="12">
        <f ca="1">IF(O$148,IF(OR(BD!L140=0,BD!L140="-"),N140,BD!L140),"")</f>
        <v>138</v>
      </c>
      <c r="P140" s="12">
        <f ca="1">IF(P$148,IF(OR(BD!M140=0,BD!M140="-"),O140,BD!M140),"")</f>
        <v>138</v>
      </c>
      <c r="Q140" s="12">
        <f ca="1">IF(Q$148,IF(OR(BD!N140=0,BD!N140="-"),P140,BD!N140),"")</f>
        <v>138</v>
      </c>
      <c r="R140" s="12">
        <f ca="1">IF(R$148,IF(OR(BD!O140=0,BD!O140="-"),Q140,BD!O140),"")</f>
        <v>138</v>
      </c>
      <c r="S140" s="12">
        <f ca="1">IF(S$148,IF(OR(BD!P140=0,BD!P140="-"),R140,BD!P140),"")</f>
        <v>138</v>
      </c>
    </row>
    <row r="141" spans="1:19">
      <c r="A141" s="34" t="str">
        <f>BD!A141</f>
        <v xml:space="preserve">Limiar Anaeróbico (km/h) </v>
      </c>
      <c r="B141" s="150" t="e">
        <f t="shared" ca="1" si="38"/>
        <v>#NAME?</v>
      </c>
      <c r="C141" s="150">
        <f t="shared" ca="1" si="36"/>
        <v>15</v>
      </c>
      <c r="D141" s="156" t="e">
        <f t="shared" ca="1" si="39"/>
        <v>#NAME?</v>
      </c>
      <c r="E141" s="12">
        <f>IF(E$2,IF(BD!B141="-",0,BD!B141+0),0)</f>
        <v>10</v>
      </c>
      <c r="F141" s="12">
        <f>IF(F$148,IF(OR(BD!C141=0,BD!C141="-"),E141,BD!C141),"")</f>
        <v>13</v>
      </c>
      <c r="G141" s="12">
        <f>IF(G$148,IF(OR(BD!D141=0,BD!D141="-"),F141,BD!D141),"")</f>
        <v>14</v>
      </c>
      <c r="H141" s="147" t="e">
        <f ca="1">IF(H$148,IF(OR(BD!E141=0,BD!E141="-"),G141,BD!E141),"")</f>
        <v>#NAME?</v>
      </c>
      <c r="I141" s="12">
        <f ca="1">IF(I$148,IF(OR(BD!F141=0,BD!F141="-"),H141,BD!F141),"")</f>
        <v>14</v>
      </c>
      <c r="J141" s="147" t="e">
        <f ca="1">IF(J$148,IF(OR(BD!G141=0,BD!G141="-"),I141,BD!G141),"")</f>
        <v>#NAME?</v>
      </c>
      <c r="K141" s="12">
        <f ca="1">IF(K$148,IF(OR(BD!H141=0,BD!H141="-"),J141,BD!H141),"")</f>
        <v>16</v>
      </c>
      <c r="L141" s="12">
        <f ca="1">IF(L$148,IF(OR(BD!I141=0,BD!I141="-"),K141,BD!I141),"")</f>
        <v>15</v>
      </c>
      <c r="M141" s="147" t="e">
        <f ca="1">IF(M$148,IF(OR(BD!J141=0,BD!J141="-"),L141,BD!J141),"")</f>
        <v>#NAME?</v>
      </c>
      <c r="N141" s="12">
        <f ca="1">IF(N$148,IF(OR(BD!K141=0,BD!K141="-"),M141,BD!K141),"")</f>
        <v>15</v>
      </c>
      <c r="O141" s="12">
        <f ca="1">IF(O$148,IF(OR(BD!L141=0,BD!L141="-"),N141,BD!L141),"")</f>
        <v>15</v>
      </c>
      <c r="P141" s="12">
        <f ca="1">IF(P$148,IF(OR(BD!M141=0,BD!M141="-"),O141,BD!M141),"")</f>
        <v>15</v>
      </c>
      <c r="Q141" s="12">
        <f ca="1">IF(Q$148,IF(OR(BD!N141=0,BD!N141="-"),P141,BD!N141),"")</f>
        <v>15</v>
      </c>
      <c r="R141" s="12">
        <f ca="1">IF(R$148,IF(OR(BD!O141=0,BD!O141="-"),Q141,BD!O141),"")</f>
        <v>15</v>
      </c>
      <c r="S141" s="12">
        <f ca="1">IF(S$148,IF(OR(BD!P141=0,BD!P141="-"),R141,BD!P141),"")</f>
        <v>15</v>
      </c>
    </row>
    <row r="142" spans="1:19">
      <c r="A142" s="34" t="str">
        <f>BD!A142</f>
        <v xml:space="preserve">Limiar Anaeróbico (Pace) </v>
      </c>
      <c r="B142" s="150" t="e">
        <f t="shared" ca="1" si="38"/>
        <v>#NAME?</v>
      </c>
      <c r="C142" s="155">
        <f t="shared" ca="1" si="36"/>
        <v>4</v>
      </c>
      <c r="D142" s="156" t="e">
        <f t="shared" ca="1" si="39"/>
        <v>#NAME?</v>
      </c>
      <c r="E142" s="147">
        <f>IF(E$2,IF(BD!B142="-",0,BD!B142+0),0)</f>
        <v>6</v>
      </c>
      <c r="F142" s="147">
        <f>IF(F$148,IF(OR(BD!C142=0,BD!C142="-"),E142,BD!C142),"")</f>
        <v>4.5999999999999996</v>
      </c>
      <c r="G142" s="147">
        <f>IF(G$148,IF(OR(BD!D142=0,BD!D142="-"),F142,BD!D142),"")</f>
        <v>4.3</v>
      </c>
      <c r="H142" s="147" t="e">
        <f ca="1">IF(H$148,IF(OR(BD!E142=0,BD!E142="-"),G142,BD!E142),"")</f>
        <v>#NAME?</v>
      </c>
      <c r="I142" s="147">
        <f ca="1">IF(I$148,IF(OR(BD!F142=0,BD!F142="-"),H142,BD!F142),"")</f>
        <v>4.2857142857142856</v>
      </c>
      <c r="J142" s="147" t="e">
        <f ca="1">IF(J$148,IF(OR(BD!G142=0,BD!G142="-"),I142,BD!G142),"")</f>
        <v>#NAME?</v>
      </c>
      <c r="K142" s="147">
        <f ca="1">IF(K$148,IF(OR(BD!H142=0,BD!H142="-"),J142,BD!H142),"")</f>
        <v>3.75</v>
      </c>
      <c r="L142" s="147">
        <f ca="1">IF(L$148,IF(OR(BD!I142=0,BD!I142="-"),K142,BD!I142),"")</f>
        <v>4</v>
      </c>
      <c r="M142" s="147" t="e">
        <f ca="1">IF(M$148,IF(OR(BD!J142=0,BD!J142="-"),L142,BD!J142),"")</f>
        <v>#NAME?</v>
      </c>
      <c r="N142" s="147">
        <f ca="1">IF(N$148,IF(OR(BD!K142=0,BD!K142="-"),M142,BD!K142),"")</f>
        <v>4</v>
      </c>
      <c r="O142" s="147">
        <f ca="1">IF(O$148,IF(OR(BD!L142=0,BD!L142="-"),N142,BD!L142),"")</f>
        <v>4</v>
      </c>
      <c r="P142" s="147">
        <f ca="1">IF(P$148,IF(OR(BD!M142=0,BD!M142="-"),O142,BD!M142),"")</f>
        <v>4</v>
      </c>
      <c r="Q142" s="12">
        <f ca="1">IF(Q$148,IF(OR(BD!N142=0,BD!N142="-"),P142,BD!N142),"")</f>
        <v>4</v>
      </c>
      <c r="R142" s="12">
        <f ca="1">IF(R$148,IF(OR(BD!O142=0,BD!O142="-"),Q142,BD!O142),"")</f>
        <v>4</v>
      </c>
      <c r="S142" s="12">
        <f ca="1">IF(S$148,IF(OR(BD!P142=0,BD!P142="-"),R142,BD!P142),"")</f>
        <v>4</v>
      </c>
    </row>
    <row r="143" spans="1:19">
      <c r="A143" s="34" t="str">
        <f>BD!A143</f>
        <v xml:space="preserve">Velocidade Máxima (km/h) </v>
      </c>
      <c r="B143" s="150" t="e">
        <f t="shared" ca="1" si="38"/>
        <v>#NAME?</v>
      </c>
      <c r="C143" s="150">
        <f t="shared" ca="1" si="36"/>
        <v>19</v>
      </c>
      <c r="D143" s="156" t="e">
        <f t="shared" ca="1" si="39"/>
        <v>#NAME?</v>
      </c>
      <c r="E143" s="12">
        <f>IF(E$2,IF(BD!B143="-",0,BD!B143+0),0)</f>
        <v>13</v>
      </c>
      <c r="F143" s="12">
        <f>IF(F$148,IF(OR(BD!C143=0,BD!C143="-"),E143,BD!C143),"")</f>
        <v>16</v>
      </c>
      <c r="G143" s="12">
        <f>IF(G$148,IF(OR(BD!D143=0,BD!D143="-"),F143,BD!D143),"")</f>
        <v>17</v>
      </c>
      <c r="H143" s="12" t="e">
        <f ca="1">IF(H$148,IF(OR(BD!E143=0,BD!E143="-"),G143,BD!E143),"")</f>
        <v>#NAME?</v>
      </c>
      <c r="I143" s="12" t="e">
        <f ca="1">IF(I$148,IF(OR(BD!F143=0,BD!F143="-"),H143,BD!F143),"")</f>
        <v>#NAME?</v>
      </c>
      <c r="J143" s="12" t="e">
        <f ca="1">IF(J$148,IF(OR(BD!G143=0,BD!G143="-"),I143,BD!G143),"")</f>
        <v>#NAME?</v>
      </c>
      <c r="K143" s="12">
        <f ca="1">IF(K$148,IF(OR(BD!H143=0,BD!H143="-"),J143,BD!H143),"")</f>
        <v>18</v>
      </c>
      <c r="L143" s="12">
        <f ca="1">IF(L$148,IF(OR(BD!I143=0,BD!I143="-"),K143,BD!I143),"")</f>
        <v>18</v>
      </c>
      <c r="M143" s="12" t="e">
        <f ca="1">IF(M$148,IF(OR(BD!J143=0,BD!J143="-"),L143,BD!J143),"")</f>
        <v>#NAME?</v>
      </c>
      <c r="N143" s="12">
        <f ca="1">IF(N$148,IF(OR(BD!K143=0,BD!K143="-"),M143,BD!K143),"")</f>
        <v>19</v>
      </c>
      <c r="O143" s="12">
        <f ca="1">IF(O$148,IF(OR(BD!L143=0,BD!L143="-"),N143,BD!L143),"")</f>
        <v>19</v>
      </c>
      <c r="P143" s="12">
        <f ca="1">IF(P$148,IF(OR(BD!M143=0,BD!M143="-"),O143,BD!M143),"")</f>
        <v>19</v>
      </c>
      <c r="Q143" s="12">
        <f ca="1">IF(Q$148,IF(OR(BD!N143=0,BD!N143="-"),P143,BD!N143),"")</f>
        <v>19</v>
      </c>
      <c r="R143" s="12">
        <f ca="1">IF(R$148,IF(OR(BD!O143=0,BD!O143="-"),Q143,BD!O143),"")</f>
        <v>19</v>
      </c>
      <c r="S143" s="12">
        <f ca="1">IF(S$148,IF(OR(BD!P143=0,BD!P143="-"),R143,BD!P143),"")</f>
        <v>19</v>
      </c>
    </row>
    <row r="144" spans="1:19">
      <c r="A144" s="34" t="str">
        <f>BD!A144</f>
        <v xml:space="preserve">FC Máxima Predita (bpm) </v>
      </c>
      <c r="B144" s="150" t="e">
        <f t="shared" ca="1" si="38"/>
        <v>#NAME?</v>
      </c>
      <c r="C144" s="159">
        <f t="shared" ca="1" si="36"/>
        <v>169.495</v>
      </c>
      <c r="D144" s="156" t="e">
        <f t="shared" ca="1" si="39"/>
        <v>#NAME?</v>
      </c>
      <c r="E144" s="149">
        <f>IF(E$2,IF(BD!B144="-",0,BD!B144+0),0)</f>
        <v>172.23500000000001</v>
      </c>
      <c r="F144" s="149">
        <f>IF(F$148,IF(OR(BD!C144=0,BD!C144="-"),E144,BD!C144),"")</f>
        <v>171.55</v>
      </c>
      <c r="G144" s="149">
        <f>IF(G$148,IF(OR(BD!D144=0,BD!D144="-"),F144,BD!D144),"")</f>
        <v>171.55</v>
      </c>
      <c r="H144" s="149">
        <f>IF(H$148,IF(OR(BD!E144=0,BD!E144="-"),G144,BD!E144),"")</f>
        <v>171.55</v>
      </c>
      <c r="I144" s="149">
        <f>IF(I$148,IF(OR(BD!F144=0,BD!F144="-"),H144,BD!F144),"")</f>
        <v>170.86500000000001</v>
      </c>
      <c r="J144" s="149">
        <f>IF(J$148,IF(OR(BD!G144=0,BD!G144="-"),I144,BD!G144),"")</f>
        <v>170.86500000000001</v>
      </c>
      <c r="K144" s="149">
        <f>IF(K$148,IF(OR(BD!H144=0,BD!H144="-"),J144,BD!H144),"")</f>
        <v>170.18</v>
      </c>
      <c r="L144" s="149">
        <f>IF(L$148,IF(OR(BD!I144=0,BD!I144="-"),K144,BD!I144),"")</f>
        <v>170.18</v>
      </c>
      <c r="M144" s="149">
        <f>IF(M$148,IF(OR(BD!J144=0,BD!J144="-"),L144,BD!J144),"")</f>
        <v>169.495</v>
      </c>
      <c r="N144" s="149">
        <f>IF(N$148,IF(OR(BD!K144=0,BD!K144="-"),M144,BD!K144),"")</f>
        <v>169.495</v>
      </c>
      <c r="O144" s="149">
        <f>IF(O$148,IF(OR(BD!L144=0,BD!L144="-"),N144,BD!L144),"")</f>
        <v>169.495</v>
      </c>
      <c r="P144" s="149">
        <f>IF(P$148,IF(OR(BD!M144=0,BD!M144="-"),O144,BD!M144),"")</f>
        <v>169.495</v>
      </c>
      <c r="Q144" s="12">
        <f>IF(Q$148,IF(OR(BD!N144=0,BD!N144="-"),P144,BD!N144),"")</f>
        <v>169.495</v>
      </c>
      <c r="R144" s="12">
        <f>IF(R$148,IF(OR(BD!O144=0,BD!O144="-"),Q144,BD!O144),"")</f>
        <v>169.495</v>
      </c>
      <c r="S144" s="12">
        <f>IF(S$148,IF(OR(BD!P144=0,BD!P144="-"),R144,BD!P144),"")</f>
        <v>169.495</v>
      </c>
    </row>
    <row r="145" spans="1:19">
      <c r="A145" s="34" t="str">
        <f>BD!A145</f>
        <v xml:space="preserve">FC Máxima no Teste (bpm) </v>
      </c>
      <c r="B145" s="150" t="e">
        <f t="shared" ca="1" si="38"/>
        <v>#NAME?</v>
      </c>
      <c r="C145" s="150">
        <f t="shared" ca="1" si="36"/>
        <v>150</v>
      </c>
      <c r="D145" s="156" t="e">
        <f t="shared" ca="1" si="39"/>
        <v>#NAME?</v>
      </c>
      <c r="E145" s="12">
        <f>IF(E$2,IF(BD!B145="-",0,BD!B145+0),0)</f>
        <v>170</v>
      </c>
      <c r="F145" s="12">
        <f>IF(F$148,IF(OR(BD!C145=0,BD!C145="-"),E145,BD!C145),"")</f>
        <v>155</v>
      </c>
      <c r="G145" s="12">
        <f>IF(G$148,IF(OR(BD!D145=0,BD!D145="-"),F145,BD!D145),"")</f>
        <v>155</v>
      </c>
      <c r="H145" s="12">
        <f ca="1">IF(H$148,IF(OR(BD!E145=0,BD!E145="-"),G145,BD!E145),"")</f>
        <v>155</v>
      </c>
      <c r="I145" s="12">
        <f ca="1">IF(I$148,IF(OR(BD!F145=0,BD!F145="-"),H145,BD!F145),"")</f>
        <v>164</v>
      </c>
      <c r="J145" s="12">
        <f ca="1">IF(J$148,IF(OR(BD!G145=0,BD!G145="-"),I145,BD!G145),"")</f>
        <v>158</v>
      </c>
      <c r="K145" s="12">
        <f ca="1">IF(K$148,IF(OR(BD!H145=0,BD!H145="-"),J145,BD!H145),"")</f>
        <v>162</v>
      </c>
      <c r="L145" s="12">
        <f ca="1">IF(L$148,IF(OR(BD!I145=0,BD!I145="-"),K145,BD!I145),"")</f>
        <v>162</v>
      </c>
      <c r="M145" s="12">
        <f ca="1">IF(M$148,IF(OR(BD!J145=0,BD!J145="-"),L145,BD!J145),"")</f>
        <v>151</v>
      </c>
      <c r="N145" s="12">
        <f ca="1">IF(N$148,IF(OR(BD!K145=0,BD!K145="-"),M145,BD!K145),"")</f>
        <v>150</v>
      </c>
      <c r="O145" s="12">
        <f ca="1">IF(O$148,IF(OR(BD!L145=0,BD!L145="-"),N145,BD!L145),"")</f>
        <v>150</v>
      </c>
      <c r="P145" s="12">
        <f ca="1">IF(P$148,IF(OR(BD!M145=0,BD!M145="-"),O145,BD!M145),"")</f>
        <v>150</v>
      </c>
      <c r="Q145" s="12">
        <f ca="1">IF(Q$148,IF(OR(BD!N145=0,BD!N145="-"),P145,BD!N145),"")</f>
        <v>150</v>
      </c>
      <c r="R145" s="12">
        <f ca="1">IF(R$148,IF(OR(BD!O145=0,BD!O145="-"),Q145,BD!O145),"")</f>
        <v>150</v>
      </c>
      <c r="S145" s="12">
        <f ca="1">IF(S$148,IF(OR(BD!P145=0,BD!P145="-"),R145,BD!P145),"")</f>
        <v>150</v>
      </c>
    </row>
    <row r="146" spans="1:19">
      <c r="B146" s="12"/>
      <c r="C146" s="12"/>
      <c r="D146" s="148"/>
      <c r="E146" s="12"/>
      <c r="F146" s="12"/>
      <c r="G146" s="12"/>
      <c r="H146" s="12"/>
      <c r="I146" s="12"/>
      <c r="J146" s="12"/>
      <c r="K146" s="12"/>
      <c r="L146" s="12"/>
      <c r="M146" s="12"/>
      <c r="N146" s="12"/>
      <c r="O146" s="12"/>
      <c r="P146" s="12"/>
      <c r="Q146" s="12"/>
      <c r="R146" s="12"/>
      <c r="S146" s="12"/>
    </row>
    <row r="147" spans="1:19">
      <c r="A147" s="34">
        <f>MAX(E147:S147)</f>
        <v>15</v>
      </c>
      <c r="B147" s="12"/>
      <c r="C147" s="12"/>
      <c r="D147" s="12"/>
      <c r="E147" s="12">
        <f t="shared" ref="E147:S147" si="40">E148+D147</f>
        <v>1</v>
      </c>
      <c r="F147" s="12">
        <f t="shared" si="40"/>
        <v>2</v>
      </c>
      <c r="G147" s="12">
        <f t="shared" si="40"/>
        <v>3</v>
      </c>
      <c r="H147" s="12">
        <f t="shared" si="40"/>
        <v>4</v>
      </c>
      <c r="I147" s="12">
        <f t="shared" si="40"/>
        <v>5</v>
      </c>
      <c r="J147" s="12">
        <f t="shared" si="40"/>
        <v>6</v>
      </c>
      <c r="K147" s="12">
        <f t="shared" si="40"/>
        <v>7</v>
      </c>
      <c r="L147" s="12">
        <f t="shared" si="40"/>
        <v>8</v>
      </c>
      <c r="M147" s="12">
        <f t="shared" si="40"/>
        <v>9</v>
      </c>
      <c r="N147" s="12">
        <f t="shared" si="40"/>
        <v>10</v>
      </c>
      <c r="O147" s="12">
        <f t="shared" si="40"/>
        <v>11</v>
      </c>
      <c r="P147" s="12">
        <f t="shared" si="40"/>
        <v>12</v>
      </c>
      <c r="Q147" s="12">
        <f t="shared" si="40"/>
        <v>13</v>
      </c>
      <c r="R147" s="12">
        <f t="shared" si="40"/>
        <v>14</v>
      </c>
      <c r="S147" s="12">
        <f t="shared" si="40"/>
        <v>15</v>
      </c>
    </row>
    <row r="148" spans="1:19">
      <c r="B148" s="12"/>
      <c r="C148" s="12"/>
      <c r="D148" s="12"/>
      <c r="E148" s="12" t="b">
        <f t="shared" ref="E148:S148" si="41">E2&lt;&gt;""</f>
        <v>1</v>
      </c>
      <c r="F148" s="12" t="b">
        <f t="shared" si="41"/>
        <v>1</v>
      </c>
      <c r="G148" s="12" t="b">
        <f t="shared" si="41"/>
        <v>1</v>
      </c>
      <c r="H148" s="12" t="b">
        <f t="shared" si="41"/>
        <v>1</v>
      </c>
      <c r="I148" s="12" t="b">
        <f t="shared" si="41"/>
        <v>1</v>
      </c>
      <c r="J148" s="12" t="b">
        <f t="shared" si="41"/>
        <v>1</v>
      </c>
      <c r="K148" s="12" t="b">
        <f t="shared" si="41"/>
        <v>1</v>
      </c>
      <c r="L148" s="12" t="b">
        <f t="shared" si="41"/>
        <v>1</v>
      </c>
      <c r="M148" s="12" t="b">
        <f t="shared" si="41"/>
        <v>1</v>
      </c>
      <c r="N148" s="12" t="b">
        <f t="shared" si="41"/>
        <v>1</v>
      </c>
      <c r="O148" s="12" t="b">
        <f t="shared" si="41"/>
        <v>1</v>
      </c>
      <c r="P148" s="12" t="b">
        <f t="shared" si="41"/>
        <v>1</v>
      </c>
      <c r="Q148" s="12" t="b">
        <f t="shared" si="41"/>
        <v>1</v>
      </c>
      <c r="R148" s="12" t="b">
        <f t="shared" si="41"/>
        <v>1</v>
      </c>
      <c r="S148" s="12" t="b">
        <f t="shared" si="41"/>
        <v>1</v>
      </c>
    </row>
    <row r="149" spans="1:19">
      <c r="B149" s="12"/>
      <c r="C149" s="12"/>
      <c r="D149" s="12"/>
      <c r="E149" s="12"/>
      <c r="F149" s="12"/>
      <c r="G149" s="12"/>
      <c r="H149" s="12"/>
      <c r="I149" s="12"/>
      <c r="J149" s="12"/>
      <c r="K149" s="12"/>
      <c r="L149" s="12"/>
      <c r="M149" s="12"/>
      <c r="N149" s="12"/>
      <c r="O149" s="12"/>
      <c r="P149" s="12"/>
      <c r="Q149" s="12"/>
      <c r="R149" s="12"/>
      <c r="S149" s="12"/>
    </row>
    <row r="150" spans="1:19">
      <c r="A150" s="34" t="str">
        <f>BD!A150</f>
        <v>Cabeça e Pescoço</v>
      </c>
      <c r="B150" s="150" t="e">
        <f t="shared" ref="B150:B154" ca="1" si="42">_xludf.IFS($E150+0&gt;0,$E150,$F150+0&gt;0,$F150,$G150+0&gt;0,$G150,$H150+0&gt;0,$H150,$I150+0&gt;0,$I150,$J150+0&gt;0,$J150,$K150+0&gt;0,$K150,$L150+0&gt;0,$L150,$M150+0&gt;0,$M150,$N150+0&gt;0,$N150,$O150+0&gt;0,$O150,$P150+0&gt;0,$P150,$Q150+0&gt;0,$Q150,$R150+0&gt;0,$R150,$S150+0&gt;0,$S150,TRUE(),"-")</f>
        <v>#NAME?</v>
      </c>
      <c r="C150" s="150">
        <f t="shared" ref="C150:C154" ca="1" si="43">OFFSET(D150,0,$A$147)</f>
        <v>0</v>
      </c>
      <c r="D150" s="156" t="e">
        <f t="shared" ref="D150:D154" ca="1" si="44">IF(OR(B150=0,B150="-"),"-",((C150-B150)/B150)*100)</f>
        <v>#NAME?</v>
      </c>
      <c r="E150" s="12">
        <f>IF(E$2,IF(BD!B150="-",0,BD!B150+0),0)</f>
        <v>0</v>
      </c>
      <c r="F150" s="12">
        <f>IF(F$148,IF(OR(BD!C150=0,BD!C150="-"),E150,BD!C150),"")</f>
        <v>0</v>
      </c>
      <c r="G150" s="12">
        <f>IF(G$148,IF(OR(BD!D150=0,BD!D150="-"),F150,BD!D150),"")</f>
        <v>0</v>
      </c>
      <c r="H150" s="12">
        <f>IF(H$148,IF(OR(BD!E150=0,BD!E150="-"),G150,BD!E150),"")</f>
        <v>0</v>
      </c>
      <c r="I150" s="12">
        <f>IF(I$148,IF(OR(BD!F150=0,BD!F150="-"),H150,BD!F150),"")</f>
        <v>0</v>
      </c>
      <c r="J150" s="12">
        <f>IF(J$148,IF(OR(BD!G150=0,BD!G150="-"),I150,BD!G150),"")</f>
        <v>0</v>
      </c>
      <c r="K150" s="12">
        <f>IF(K$148,IF(OR(BD!H150=0,BD!H150="-"),J150,BD!H150),"")</f>
        <v>0</v>
      </c>
      <c r="L150" s="12">
        <f>IF(L$148,IF(OR(BD!I150=0,BD!I150="-"),K150,BD!I150),"")</f>
        <v>0</v>
      </c>
      <c r="M150" s="12">
        <f>IF(M$148,IF(OR(BD!J150=0,BD!J150="-"),L150,BD!J150),"")</f>
        <v>0</v>
      </c>
      <c r="N150" s="12">
        <f>IF(N$148,IF(OR(BD!K150=0,BD!K150="-"),M150,BD!K150),"")</f>
        <v>0</v>
      </c>
      <c r="O150" s="12">
        <f>IF(O$148,IF(OR(BD!L150=0,BD!L150="-"),N150,BD!L150),"")</f>
        <v>0</v>
      </c>
      <c r="P150" s="12">
        <f>IF(P$148,IF(OR(BD!M150=0,BD!M150="-"),O150,BD!M150),"")</f>
        <v>0</v>
      </c>
      <c r="Q150" s="12">
        <f>IF(Q$148,IF(OR(BD!N150=0,BD!N150="-"),P150,BD!N150),"")</f>
        <v>0</v>
      </c>
      <c r="R150" s="12">
        <f>IF(R$148,IF(OR(BD!O150=0,BD!O150="-"),Q150,BD!O150),"")</f>
        <v>0</v>
      </c>
      <c r="S150" s="12">
        <f>IF(S$148,IF(OR(BD!P150=0,BD!P150="-"),R150,BD!P150),"")</f>
        <v>0</v>
      </c>
    </row>
    <row r="151" spans="1:19">
      <c r="A151" s="34" t="str">
        <f>BD!A151</f>
        <v>Coluna Dorsal e Lombar</v>
      </c>
      <c r="B151" s="150" t="e">
        <f t="shared" ca="1" si="42"/>
        <v>#NAME?</v>
      </c>
      <c r="C151" s="150">
        <f t="shared" ca="1" si="43"/>
        <v>0</v>
      </c>
      <c r="D151" s="156" t="e">
        <f t="shared" ca="1" si="44"/>
        <v>#NAME?</v>
      </c>
      <c r="E151" s="12">
        <f>IF(E$2,IF(BD!B151="-",0,BD!B151+0),0)</f>
        <v>0</v>
      </c>
      <c r="F151" s="12">
        <f>IF(F$148,IF(OR(BD!C151=0,BD!C151="-"),E151,BD!C151),"")</f>
        <v>0</v>
      </c>
      <c r="G151" s="12">
        <f>IF(G$148,IF(OR(BD!D151=0,BD!D151="-"),F151,BD!D151),"")</f>
        <v>0</v>
      </c>
      <c r="H151" s="12">
        <f>IF(H$148,IF(OR(BD!E151=0,BD!E151="-"),G151,BD!E151),"")</f>
        <v>0</v>
      </c>
      <c r="I151" s="12">
        <f>IF(I$148,IF(OR(BD!F151=0,BD!F151="-"),H151,BD!F151),"")</f>
        <v>0</v>
      </c>
      <c r="J151" s="12">
        <f>IF(J$148,IF(OR(BD!G151=0,BD!G151="-"),I151,BD!G151),"")</f>
        <v>0</v>
      </c>
      <c r="K151" s="12">
        <f>IF(K$148,IF(OR(BD!H151=0,BD!H151="-"),J151,BD!H151),"")</f>
        <v>0</v>
      </c>
      <c r="L151" s="12">
        <f>IF(L$148,IF(OR(BD!I151=0,BD!I151="-"),K151,BD!I151),"")</f>
        <v>0</v>
      </c>
      <c r="M151" s="12">
        <f>IF(M$148,IF(OR(BD!J151=0,BD!J151="-"),L151,BD!J151),"")</f>
        <v>0</v>
      </c>
      <c r="N151" s="12">
        <f>IF(N$148,IF(OR(BD!K151=0,BD!K151="-"),M151,BD!K151),"")</f>
        <v>0</v>
      </c>
      <c r="O151" s="12">
        <f>IF(O$148,IF(OR(BD!L151=0,BD!L151="-"),N151,BD!L151),"")</f>
        <v>0</v>
      </c>
      <c r="P151" s="12">
        <f>IF(P$148,IF(OR(BD!M151=0,BD!M151="-"),O151,BD!M151),"")</f>
        <v>0</v>
      </c>
      <c r="Q151" s="12">
        <f>IF(Q$148,IF(OR(BD!N151=0,BD!N151="-"),P151,BD!N151),"")</f>
        <v>0</v>
      </c>
      <c r="R151" s="12">
        <f>IF(R$148,IF(OR(BD!O151=0,BD!O151="-"),Q151,BD!O151),"")</f>
        <v>0</v>
      </c>
      <c r="S151" s="12">
        <f>IF(S$148,IF(OR(BD!P151=0,BD!P151="-"),R151,BD!P151),"")</f>
        <v>0</v>
      </c>
    </row>
    <row r="152" spans="1:19">
      <c r="A152" s="34" t="str">
        <f>BD!A152</f>
        <v>Abdomên e Quadril</v>
      </c>
      <c r="B152" s="150" t="e">
        <f t="shared" ca="1" si="42"/>
        <v>#NAME?</v>
      </c>
      <c r="C152" s="150">
        <f t="shared" ca="1" si="43"/>
        <v>0</v>
      </c>
      <c r="D152" s="156" t="e">
        <f t="shared" ca="1" si="44"/>
        <v>#NAME?</v>
      </c>
      <c r="E152" s="12">
        <f>IF(E$2,IF(BD!B152="-",0,BD!B152+0),0)</f>
        <v>0</v>
      </c>
      <c r="F152" s="12">
        <f>IF(F$148,IF(OR(BD!C152=0,BD!C152="-"),E152,BD!C152),"")</f>
        <v>0</v>
      </c>
      <c r="G152" s="12">
        <f>IF(G$148,IF(OR(BD!D152=0,BD!D152="-"),F152,BD!D152),"")</f>
        <v>0</v>
      </c>
      <c r="H152" s="12">
        <f>IF(H$148,IF(OR(BD!E152=0,BD!E152="-"),G152,BD!E152),"")</f>
        <v>0</v>
      </c>
      <c r="I152" s="12">
        <f>IF(I$148,IF(OR(BD!F152=0,BD!F152="-"),H152,BD!F152),"")</f>
        <v>0</v>
      </c>
      <c r="J152" s="12">
        <f>IF(J$148,IF(OR(BD!G152=0,BD!G152="-"),I152,BD!G152),"")</f>
        <v>0</v>
      </c>
      <c r="K152" s="12">
        <f>IF(K$148,IF(OR(BD!H152=0,BD!H152="-"),J152,BD!H152),"")</f>
        <v>0</v>
      </c>
      <c r="L152" s="12">
        <f>IF(L$148,IF(OR(BD!I152=0,BD!I152="-"),K152,BD!I152),"")</f>
        <v>0</v>
      </c>
      <c r="M152" s="12">
        <f>IF(M$148,IF(OR(BD!J152=0,BD!J152="-"),L152,BD!J152),"")</f>
        <v>0</v>
      </c>
      <c r="N152" s="12">
        <f>IF(N$148,IF(OR(BD!K152=0,BD!K152="-"),M152,BD!K152),"")</f>
        <v>0</v>
      </c>
      <c r="O152" s="12">
        <f>IF(O$148,IF(OR(BD!L152=0,BD!L152="-"),N152,BD!L152),"")</f>
        <v>0</v>
      </c>
      <c r="P152" s="12">
        <f>IF(P$148,IF(OR(BD!M152=0,BD!M152="-"),O152,BD!M152),"")</f>
        <v>0</v>
      </c>
      <c r="Q152" s="12">
        <f>IF(Q$148,IF(OR(BD!N152=0,BD!N152="-"),P152,BD!N152),"")</f>
        <v>0</v>
      </c>
      <c r="R152" s="12">
        <f>IF(R$148,IF(OR(BD!O152=0,BD!O152="-"),Q152,BD!O152),"")</f>
        <v>0</v>
      </c>
      <c r="S152" s="12">
        <f>IF(S$148,IF(OR(BD!P152=0,BD!P152="-"),R152,BD!P152),"")</f>
        <v>0</v>
      </c>
    </row>
    <row r="153" spans="1:19">
      <c r="A153" s="34" t="str">
        <f>BD!A153</f>
        <v>Membros Inferiores</v>
      </c>
      <c r="B153" s="150" t="e">
        <f t="shared" ca="1" si="42"/>
        <v>#NAME?</v>
      </c>
      <c r="C153" s="150">
        <f t="shared" ca="1" si="43"/>
        <v>0</v>
      </c>
      <c r="D153" s="156" t="e">
        <f t="shared" ca="1" si="44"/>
        <v>#NAME?</v>
      </c>
      <c r="E153" s="12">
        <f>IF(E$2,IF(BD!B153="-",0,BD!B153+0),0)</f>
        <v>0</v>
      </c>
      <c r="F153" s="12">
        <f>IF(F$148,IF(OR(BD!C153=0,BD!C153="-"),E153,BD!C153),"")</f>
        <v>0</v>
      </c>
      <c r="G153" s="12">
        <f>IF(G$148,IF(OR(BD!D153=0,BD!D153="-"),F153,BD!D153),"")</f>
        <v>0</v>
      </c>
      <c r="H153" s="12">
        <f>IF(H$148,IF(OR(BD!E153=0,BD!E153="-"),G153,BD!E153),"")</f>
        <v>0</v>
      </c>
      <c r="I153" s="12">
        <f>IF(I$148,IF(OR(BD!F153=0,BD!F153="-"),H153,BD!F153),"")</f>
        <v>0</v>
      </c>
      <c r="J153" s="12">
        <f>IF(J$148,IF(OR(BD!G153=0,BD!G153="-"),I153,BD!G153),"")</f>
        <v>0</v>
      </c>
      <c r="K153" s="12">
        <f>IF(K$148,IF(OR(BD!H153=0,BD!H153="-"),J153,BD!H153),"")</f>
        <v>0</v>
      </c>
      <c r="L153" s="12">
        <f>IF(L$148,IF(OR(BD!I153=0,BD!I153="-"),K153,BD!I153),"")</f>
        <v>0</v>
      </c>
      <c r="M153" s="12">
        <f>IF(M$148,IF(OR(BD!J153=0,BD!J153="-"),L153,BD!J153),"")</f>
        <v>0</v>
      </c>
      <c r="N153" s="12">
        <f>IF(N$148,IF(OR(BD!K153=0,BD!K153="-"),M153,BD!K153),"")</f>
        <v>0</v>
      </c>
      <c r="O153" s="12">
        <f>IF(O$148,IF(OR(BD!L153=0,BD!L153="-"),N153,BD!L153),"")</f>
        <v>0</v>
      </c>
      <c r="P153" s="12">
        <f>IF(P$148,IF(OR(BD!M153=0,BD!M153="-"),O153,BD!M153),"")</f>
        <v>0</v>
      </c>
      <c r="Q153" s="12">
        <f>IF(Q$148,IF(OR(BD!N153=0,BD!N153="-"),P153,BD!N153),"")</f>
        <v>0</v>
      </c>
      <c r="R153" s="12">
        <f>IF(R$148,IF(OR(BD!O153=0,BD!O153="-"),Q153,BD!O153),"")</f>
        <v>0</v>
      </c>
      <c r="S153" s="12">
        <f>IF(S$148,IF(OR(BD!P153=0,BD!P153="-"),R153,BD!P153),"")</f>
        <v>0</v>
      </c>
    </row>
    <row r="154" spans="1:19">
      <c r="A154" s="34" t="str">
        <f>BD!A154</f>
        <v>Índice de Correção Postural</v>
      </c>
      <c r="B154" s="150" t="e">
        <f t="shared" ca="1" si="42"/>
        <v>#NAME?</v>
      </c>
      <c r="C154" s="150">
        <f t="shared" ca="1" si="43"/>
        <v>0</v>
      </c>
      <c r="D154" s="156" t="e">
        <f t="shared" ca="1" si="44"/>
        <v>#NAME?</v>
      </c>
      <c r="E154" s="12">
        <f>IF(E$2,IF(BD!B154="-",0,BD!B154+0),0)</f>
        <v>0</v>
      </c>
      <c r="F154" s="12">
        <f>IF(F$148,IF(OR(BD!C154=0,BD!C154="-"),E154,BD!C154),"")</f>
        <v>0</v>
      </c>
      <c r="G154" s="12">
        <f>IF(G$148,IF(OR(BD!D154=0,BD!D154="-"),F154,BD!D154),"")</f>
        <v>0</v>
      </c>
      <c r="H154" s="12">
        <f>IF(H$148,IF(OR(BD!E154=0,BD!E154="-"),G154,BD!E154),"")</f>
        <v>0</v>
      </c>
      <c r="I154" s="12">
        <f>IF(I$148,IF(OR(BD!F154=0,BD!F154="-"),H154,BD!F154),"")</f>
        <v>0</v>
      </c>
      <c r="J154" s="12">
        <f>IF(J$148,IF(OR(BD!G154=0,BD!G154="-"),I154,BD!G154),"")</f>
        <v>0</v>
      </c>
      <c r="K154" s="12">
        <f>IF(K$148,IF(OR(BD!H154=0,BD!H154="-"),J154,BD!H154),"")</f>
        <v>0</v>
      </c>
      <c r="L154" s="12">
        <f>IF(L$148,IF(OR(BD!I154=0,BD!I154="-"),K154,BD!I154),"")</f>
        <v>0</v>
      </c>
      <c r="M154" s="12">
        <f>IF(M$148,IF(OR(BD!J154=0,BD!J154="-"),L154,BD!J154),"")</f>
        <v>0</v>
      </c>
      <c r="N154" s="12">
        <f>IF(N$148,IF(OR(BD!K154=0,BD!K154="-"),M154,BD!K154),"")</f>
        <v>0</v>
      </c>
      <c r="O154" s="12">
        <f>IF(O$148,IF(OR(BD!L154=0,BD!L154="-"),N154,BD!L154),"")</f>
        <v>0</v>
      </c>
      <c r="P154" s="12">
        <f>IF(P$148,IF(OR(BD!M154=0,BD!M154="-"),O154,BD!M154),"")</f>
        <v>0</v>
      </c>
      <c r="Q154" s="12">
        <f>IF(Q$148,IF(OR(BD!N154=0,BD!N154="-"),P154,BD!N154),"")</f>
        <v>0</v>
      </c>
      <c r="R154" s="12">
        <f>IF(R$148,IF(OR(BD!O154=0,BD!O154="-"),Q154,BD!O154),"")</f>
        <v>0</v>
      </c>
      <c r="S154" s="12">
        <f>IF(S$148,IF(OR(BD!P154=0,BD!P154="-"),R154,BD!P154),"")</f>
        <v>0</v>
      </c>
    </row>
    <row r="155" spans="1:19">
      <c r="B155" s="12"/>
      <c r="C155" s="12"/>
      <c r="D155" s="12"/>
      <c r="E155" s="12"/>
      <c r="F155" s="12"/>
      <c r="G155" s="12"/>
      <c r="H155" s="12"/>
      <c r="I155" s="12"/>
      <c r="J155" s="12"/>
      <c r="K155" s="12"/>
      <c r="L155" s="12"/>
      <c r="M155" s="12"/>
      <c r="N155" s="12"/>
      <c r="O155" s="12"/>
      <c r="P155" s="12"/>
      <c r="Q155" s="12"/>
      <c r="R155" s="12"/>
      <c r="S155" s="12"/>
    </row>
    <row r="156" spans="1:19">
      <c r="B156" s="12"/>
      <c r="C156" s="12"/>
      <c r="D156" s="12"/>
      <c r="E156" s="12"/>
      <c r="F156" s="12"/>
      <c r="G156" s="12"/>
      <c r="H156" s="12"/>
      <c r="I156" s="12"/>
      <c r="J156" s="12"/>
      <c r="K156" s="12"/>
      <c r="L156" s="12"/>
      <c r="M156" s="12"/>
      <c r="N156" s="12"/>
      <c r="O156" s="12"/>
      <c r="P156" s="12"/>
      <c r="Q156" s="12"/>
      <c r="R156" s="12"/>
      <c r="S156" s="12"/>
    </row>
    <row r="157" spans="1:19">
      <c r="A157" s="34" t="str">
        <f>BD!A157</f>
        <v>Variável 1</v>
      </c>
      <c r="B157" s="155" t="e">
        <f t="shared" ref="B157:B166" ca="1" si="45">_xludf.IFS($E157+0&gt;0,$E157,$F157+0&gt;0,$F157,$G157+0&gt;0,$G157,$H157+0&gt;0,$H157,$I157+0&gt;0,$I157,$J157+0&gt;0,$J157,$K157+0&gt;0,$K157,$L157+0&gt;0,$L157,$M157+0&gt;0,$M157,$N157+0&gt;0,$N157,$O157+0&gt;0,$O157,$P157+0&gt;0,$P157,$Q157+0&gt;0,$Q157,$R157+0&gt;0,$R157,$S157+0&gt;0,$S157,TRUE(),"-")</f>
        <v>#NAME?</v>
      </c>
      <c r="C157" s="150">
        <f t="shared" ref="C157:C166" ca="1" si="46">OFFSET(D157,0,$A$147)</f>
        <v>0</v>
      </c>
      <c r="D157" s="156" t="e">
        <f t="shared" ref="D157:D166" ca="1" si="47">IF(OR(B157=0,B157="-"),"-",((C157-B157)/B157)*100)</f>
        <v>#NAME?</v>
      </c>
      <c r="E157" s="12">
        <f>IF(E$2,IF(BD!B157="-",0,BD!B157+0),0)</f>
        <v>0</v>
      </c>
      <c r="F157" s="12">
        <f>IF(F$148,IF(OR(BD!C157=0,BD!C157="-"),E157,BD!C157),"")</f>
        <v>0</v>
      </c>
      <c r="G157" s="12">
        <f>IF(G$148,IF(OR(BD!D157=0,BD!D157="-"),F157,BD!D157),"")</f>
        <v>0</v>
      </c>
      <c r="H157" s="12">
        <f>IF(H$148,IF(OR(BD!E157=0,BD!E157="-"),G157,BD!E157),"")</f>
        <v>0</v>
      </c>
      <c r="I157" s="12">
        <f>IF(I$148,IF(OR(BD!F157=0,BD!F157="-"),H157,BD!F157),"")</f>
        <v>0</v>
      </c>
      <c r="J157" s="12">
        <f>IF(J$148,IF(OR(BD!G157=0,BD!G157="-"),I157,BD!G157),"")</f>
        <v>0</v>
      </c>
      <c r="K157" s="12">
        <f>IF(K$148,IF(OR(BD!H157=0,BD!H157="-"),J157,BD!H157),"")</f>
        <v>0</v>
      </c>
      <c r="L157" s="12">
        <f>IF(L$148,IF(OR(BD!I157=0,BD!I157="-"),K157,BD!I157),"")</f>
        <v>0</v>
      </c>
      <c r="M157" s="12">
        <f>IF(M$148,IF(OR(BD!J157=0,BD!J157="-"),L157,BD!J157),"")</f>
        <v>0</v>
      </c>
      <c r="N157" s="12">
        <f>IF(N$148,IF(OR(BD!K157=0,BD!K157="-"),M157,BD!K157),"")</f>
        <v>0</v>
      </c>
      <c r="O157" s="12">
        <f>IF(O$148,IF(OR(BD!L157=0,BD!L157="-"),N157,BD!L157),"")</f>
        <v>0</v>
      </c>
      <c r="P157" s="12">
        <f>IF(P$148,IF(OR(BD!M157=0,BD!M157="-"),O157,BD!M157),"")</f>
        <v>0</v>
      </c>
      <c r="Q157" s="12">
        <f>IF(Q$148,IF(OR(BD!N157=0,BD!N157="-"),P157,BD!N157),"")</f>
        <v>0</v>
      </c>
      <c r="R157" s="12">
        <f>IF(R$148,IF(OR(BD!O157=0,BD!O157="-"),Q157,BD!O157),"")</f>
        <v>0</v>
      </c>
      <c r="S157" s="12">
        <f>IF(S$148,IF(OR(BD!P157=0,BD!P157="-"),R157,BD!P157),"")</f>
        <v>0</v>
      </c>
    </row>
    <row r="158" spans="1:19">
      <c r="A158" s="34" t="str">
        <f>BD!A158</f>
        <v>Variável 2</v>
      </c>
      <c r="B158" s="155" t="e">
        <f t="shared" ca="1" si="45"/>
        <v>#NAME?</v>
      </c>
      <c r="C158" s="150">
        <f t="shared" ca="1" si="46"/>
        <v>0</v>
      </c>
      <c r="D158" s="156" t="e">
        <f t="shared" ca="1" si="47"/>
        <v>#NAME?</v>
      </c>
      <c r="E158" s="12">
        <f>IF(E$2,IF(BD!B158="-",0,BD!B158+0),0)</f>
        <v>0</v>
      </c>
      <c r="F158" s="12">
        <f>IF(F$148,IF(OR(BD!C158=0,BD!C158="-"),E158,BD!C158),"")</f>
        <v>0</v>
      </c>
      <c r="G158" s="12">
        <f>IF(G$148,IF(OR(BD!D158=0,BD!D158="-"),F158,BD!D158),"")</f>
        <v>0</v>
      </c>
      <c r="H158" s="12">
        <f>IF(H$148,IF(OR(BD!E158=0,BD!E158="-"),G158,BD!E158),"")</f>
        <v>0</v>
      </c>
      <c r="I158" s="12">
        <f>IF(I$148,IF(OR(BD!F158=0,BD!F158="-"),H158,BD!F158),"")</f>
        <v>0</v>
      </c>
      <c r="J158" s="12">
        <f>IF(J$148,IF(OR(BD!G158=0,BD!G158="-"),I158,BD!G158),"")</f>
        <v>0</v>
      </c>
      <c r="K158" s="12">
        <f>IF(K$148,IF(OR(BD!H158=0,BD!H158="-"),J158,BD!H158),"")</f>
        <v>0</v>
      </c>
      <c r="L158" s="12">
        <f>IF(L$148,IF(OR(BD!I158=0,BD!I158="-"),K158,BD!I158),"")</f>
        <v>0</v>
      </c>
      <c r="M158" s="12">
        <f>IF(M$148,IF(OR(BD!J158=0,BD!J158="-"),L158,BD!J158),"")</f>
        <v>0</v>
      </c>
      <c r="N158" s="12">
        <f>IF(N$148,IF(OR(BD!K158=0,BD!K158="-"),M158,BD!K158),"")</f>
        <v>0</v>
      </c>
      <c r="O158" s="12">
        <f>IF(O$148,IF(OR(BD!L158=0,BD!L158="-"),N158,BD!L158),"")</f>
        <v>0</v>
      </c>
      <c r="P158" s="12">
        <f>IF(P$148,IF(OR(BD!M158=0,BD!M158="-"),O158,BD!M158),"")</f>
        <v>0</v>
      </c>
      <c r="Q158" s="12">
        <f>IF(Q$148,IF(OR(BD!N158=0,BD!N158="-"),P158,BD!N158),"")</f>
        <v>0</v>
      </c>
      <c r="R158" s="12">
        <f>IF(R$148,IF(OR(BD!O158=0,BD!O158="-"),Q158,BD!O158),"")</f>
        <v>0</v>
      </c>
      <c r="S158" s="12">
        <f>IF(S$148,IF(OR(BD!P158=0,BD!P158="-"),R158,BD!P158),"")</f>
        <v>0</v>
      </c>
    </row>
    <row r="159" spans="1:19">
      <c r="A159" s="34" t="str">
        <f>BD!A159</f>
        <v>Variável 3</v>
      </c>
      <c r="B159" s="155" t="e">
        <f t="shared" ca="1" si="45"/>
        <v>#NAME?</v>
      </c>
      <c r="C159" s="150">
        <f t="shared" ca="1" si="46"/>
        <v>0</v>
      </c>
      <c r="D159" s="156" t="e">
        <f t="shared" ca="1" si="47"/>
        <v>#NAME?</v>
      </c>
      <c r="E159" s="12">
        <f>IF(E$2,IF(BD!B159="-",0,BD!B159+0),0)</f>
        <v>0</v>
      </c>
      <c r="F159" s="12">
        <f>IF(F$148,IF(OR(BD!C159=0,BD!C159="-"),E159,BD!C159),"")</f>
        <v>0</v>
      </c>
      <c r="G159" s="12">
        <f>IF(G$148,IF(OR(BD!D159=0,BD!D159="-"),F159,BD!D159),"")</f>
        <v>0</v>
      </c>
      <c r="H159" s="12">
        <f>IF(H$148,IF(OR(BD!E159=0,BD!E159="-"),G159,BD!E159),"")</f>
        <v>0</v>
      </c>
      <c r="I159" s="12">
        <f>IF(I$148,IF(OR(BD!F159=0,BD!F159="-"),H159,BD!F159),"")</f>
        <v>0</v>
      </c>
      <c r="J159" s="12">
        <f>IF(J$148,IF(OR(BD!G159=0,BD!G159="-"),I159,BD!G159),"")</f>
        <v>0</v>
      </c>
      <c r="K159" s="12">
        <f>IF(K$148,IF(OR(BD!H159=0,BD!H159="-"),J159,BD!H159),"")</f>
        <v>0</v>
      </c>
      <c r="L159" s="12">
        <f>IF(L$148,IF(OR(BD!I159=0,BD!I159="-"),K159,BD!I159),"")</f>
        <v>0</v>
      </c>
      <c r="M159" s="12">
        <f>IF(M$148,IF(OR(BD!J159=0,BD!J159="-"),L159,BD!J159),"")</f>
        <v>0</v>
      </c>
      <c r="N159" s="12">
        <f>IF(N$148,IF(OR(BD!K159=0,BD!K159="-"),M159,BD!K159),"")</f>
        <v>0</v>
      </c>
      <c r="O159" s="12">
        <f>IF(O$148,IF(OR(BD!L159=0,BD!L159="-"),N159,BD!L159),"")</f>
        <v>0</v>
      </c>
      <c r="P159" s="12">
        <f>IF(P$148,IF(OR(BD!M159=0,BD!M159="-"),O159,BD!M159),"")</f>
        <v>0</v>
      </c>
      <c r="Q159" s="12">
        <f>IF(Q$148,IF(OR(BD!N159=0,BD!N159="-"),P159,BD!N159),"")</f>
        <v>0</v>
      </c>
      <c r="R159" s="12">
        <f>IF(R$148,IF(OR(BD!O159=0,BD!O159="-"),Q159,BD!O159),"")</f>
        <v>0</v>
      </c>
      <c r="S159" s="12">
        <f>IF(S$148,IF(OR(BD!P159=0,BD!P159="-"),R159,BD!P159),"")</f>
        <v>0</v>
      </c>
    </row>
    <row r="160" spans="1:19">
      <c r="A160" s="34" t="str">
        <f>BD!A160</f>
        <v>Variável 4</v>
      </c>
      <c r="B160" s="155" t="e">
        <f t="shared" ca="1" si="45"/>
        <v>#NAME?</v>
      </c>
      <c r="C160" s="150">
        <f t="shared" ca="1" si="46"/>
        <v>0</v>
      </c>
      <c r="D160" s="156" t="e">
        <f t="shared" ca="1" si="47"/>
        <v>#NAME?</v>
      </c>
      <c r="E160" s="12">
        <f>IF(E$2,IF(BD!B160="-",0,BD!B160+0),0)</f>
        <v>0</v>
      </c>
      <c r="F160" s="12">
        <f>IF(F$148,IF(OR(BD!C160=0,BD!C160="-"),E160,BD!C160),"")</f>
        <v>0</v>
      </c>
      <c r="G160" s="12">
        <f>IF(G$148,IF(OR(BD!D160=0,BD!D160="-"),F160,BD!D160),"")</f>
        <v>0</v>
      </c>
      <c r="H160" s="12">
        <f>IF(H$148,IF(OR(BD!E160=0,BD!E160="-"),G160,BD!E160),"")</f>
        <v>0</v>
      </c>
      <c r="I160" s="12">
        <f>IF(I$148,IF(OR(BD!F160=0,BD!F160="-"),H160,BD!F160),"")</f>
        <v>0</v>
      </c>
      <c r="J160" s="12">
        <f>IF(J$148,IF(OR(BD!G160=0,BD!G160="-"),I160,BD!G160),"")</f>
        <v>0</v>
      </c>
      <c r="K160" s="12">
        <f>IF(K$148,IF(OR(BD!H160=0,BD!H160="-"),J160,BD!H160),"")</f>
        <v>0</v>
      </c>
      <c r="L160" s="12">
        <f>IF(L$148,IF(OR(BD!I160=0,BD!I160="-"),K160,BD!I160),"")</f>
        <v>0</v>
      </c>
      <c r="M160" s="12">
        <f>IF(M$148,IF(OR(BD!J160=0,BD!J160="-"),L160,BD!J160),"")</f>
        <v>0</v>
      </c>
      <c r="N160" s="12">
        <f>IF(N$148,IF(OR(BD!K160=0,BD!K160="-"),M160,BD!K160),"")</f>
        <v>0</v>
      </c>
      <c r="O160" s="12">
        <f>IF(O$148,IF(OR(BD!L160=0,BD!L160="-"),N160,BD!L160),"")</f>
        <v>0</v>
      </c>
      <c r="P160" s="12">
        <f>IF(P$148,IF(OR(BD!M160=0,BD!M160="-"),O160,BD!M160),"")</f>
        <v>0</v>
      </c>
      <c r="Q160" s="12">
        <f>IF(Q$148,IF(OR(BD!N160=0,BD!N160="-"),P160,BD!N160),"")</f>
        <v>0</v>
      </c>
      <c r="R160" s="12">
        <f>IF(R$148,IF(OR(BD!O160=0,BD!O160="-"),Q160,BD!O160),"")</f>
        <v>0</v>
      </c>
      <c r="S160" s="12">
        <f>IF(S$148,IF(OR(BD!P160=0,BD!P160="-"),R160,BD!P160),"")</f>
        <v>0</v>
      </c>
    </row>
    <row r="161" spans="1:19">
      <c r="A161" s="34" t="str">
        <f>BD!A161</f>
        <v>Variável 5</v>
      </c>
      <c r="B161" s="155" t="e">
        <f t="shared" ca="1" si="45"/>
        <v>#NAME?</v>
      </c>
      <c r="C161" s="150">
        <f t="shared" ca="1" si="46"/>
        <v>0</v>
      </c>
      <c r="D161" s="156" t="e">
        <f t="shared" ca="1" si="47"/>
        <v>#NAME?</v>
      </c>
      <c r="E161" s="12">
        <f>IF(E$2,IF(BD!B161="-",0,BD!B161+0),0)</f>
        <v>0</v>
      </c>
      <c r="F161" s="12">
        <f>IF(F$148,IF(OR(BD!C161=0,BD!C161="-"),E161,BD!C161),"")</f>
        <v>0</v>
      </c>
      <c r="G161" s="12">
        <f>IF(G$148,IF(OR(BD!D161=0,BD!D161="-"),F161,BD!D161),"")</f>
        <v>0</v>
      </c>
      <c r="H161" s="12">
        <f>IF(H$148,IF(OR(BD!E161=0,BD!E161="-"),G161,BD!E161),"")</f>
        <v>0</v>
      </c>
      <c r="I161" s="12">
        <f>IF(I$148,IF(OR(BD!F161=0,BD!F161="-"),H161,BD!F161),"")</f>
        <v>0</v>
      </c>
      <c r="J161" s="12">
        <f>IF(J$148,IF(OR(BD!G161=0,BD!G161="-"),I161,BD!G161),"")</f>
        <v>0</v>
      </c>
      <c r="K161" s="12">
        <f>IF(K$148,IF(OR(BD!H161=0,BD!H161="-"),J161,BD!H161),"")</f>
        <v>0</v>
      </c>
      <c r="L161" s="12">
        <f>IF(L$148,IF(OR(BD!I161=0,BD!I161="-"),K161,BD!I161),"")</f>
        <v>0</v>
      </c>
      <c r="M161" s="12">
        <f>IF(M$148,IF(OR(BD!J161=0,BD!J161="-"),L161,BD!J161),"")</f>
        <v>0</v>
      </c>
      <c r="N161" s="12">
        <f>IF(N$148,IF(OR(BD!K161=0,BD!K161="-"),M161,BD!K161),"")</f>
        <v>0</v>
      </c>
      <c r="O161" s="12">
        <f>IF(O$148,IF(OR(BD!L161=0,BD!L161="-"),N161,BD!L161),"")</f>
        <v>0</v>
      </c>
      <c r="P161" s="12">
        <f>IF(P$148,IF(OR(BD!M161=0,BD!M161="-"),O161,BD!M161),"")</f>
        <v>0</v>
      </c>
      <c r="Q161" s="12">
        <f>IF(Q$148,IF(OR(BD!N161=0,BD!N161="-"),P161,BD!N161),"")</f>
        <v>0</v>
      </c>
      <c r="R161" s="12">
        <f>IF(R$148,IF(OR(BD!O161=0,BD!O161="-"),Q161,BD!O161),"")</f>
        <v>0</v>
      </c>
      <c r="S161" s="12">
        <f>IF(S$148,IF(OR(BD!P161=0,BD!P161="-"),R161,BD!P161),"")</f>
        <v>0</v>
      </c>
    </row>
    <row r="162" spans="1:19">
      <c r="A162" s="34" t="str">
        <f>BD!A162</f>
        <v>Variável 6</v>
      </c>
      <c r="B162" s="155" t="e">
        <f t="shared" ca="1" si="45"/>
        <v>#NAME?</v>
      </c>
      <c r="C162" s="150">
        <f t="shared" ca="1" si="46"/>
        <v>0</v>
      </c>
      <c r="D162" s="156" t="e">
        <f t="shared" ca="1" si="47"/>
        <v>#NAME?</v>
      </c>
      <c r="E162" s="12">
        <f>IF(E$2,IF(BD!B162="-",0,BD!B162+0),0)</f>
        <v>0</v>
      </c>
      <c r="F162" s="12">
        <f>IF(F$148,IF(OR(BD!C162=0,BD!C162="-"),E162,BD!C162),"")</f>
        <v>0</v>
      </c>
      <c r="G162" s="12">
        <f>IF(G$148,IF(OR(BD!D162=0,BD!D162="-"),F162,BD!D162),"")</f>
        <v>0</v>
      </c>
      <c r="H162" s="12">
        <f>IF(H$148,IF(OR(BD!E162=0,BD!E162="-"),G162,BD!E162),"")</f>
        <v>0</v>
      </c>
      <c r="I162" s="12">
        <f>IF(I$148,IF(OR(BD!F162=0,BD!F162="-"),H162,BD!F162),"")</f>
        <v>0</v>
      </c>
      <c r="J162" s="12">
        <f>IF(J$148,IF(OR(BD!G162=0,BD!G162="-"),I162,BD!G162),"")</f>
        <v>0</v>
      </c>
      <c r="K162" s="12">
        <f>IF(K$148,IF(OR(BD!H162=0,BD!H162="-"),J162,BD!H162),"")</f>
        <v>0</v>
      </c>
      <c r="L162" s="12">
        <f>IF(L$148,IF(OR(BD!I162=0,BD!I162="-"),K162,BD!I162),"")</f>
        <v>0</v>
      </c>
      <c r="M162" s="12">
        <f>IF(M$148,IF(OR(BD!J162=0,BD!J162="-"),L162,BD!J162),"")</f>
        <v>0</v>
      </c>
      <c r="N162" s="12">
        <f>IF(N$148,IF(OR(BD!K162=0,BD!K162="-"),M162,BD!K162),"")</f>
        <v>0</v>
      </c>
      <c r="O162" s="12">
        <f>IF(O$148,IF(OR(BD!L162=0,BD!L162="-"),N162,BD!L162),"")</f>
        <v>0</v>
      </c>
      <c r="P162" s="12">
        <f>IF(P$148,IF(OR(BD!M162=0,BD!M162="-"),O162,BD!M162),"")</f>
        <v>0</v>
      </c>
      <c r="Q162" s="12">
        <f>IF(Q$148,IF(OR(BD!N162=0,BD!N162="-"),P162,BD!N162),"")</f>
        <v>0</v>
      </c>
      <c r="R162" s="12">
        <f>IF(R$148,IF(OR(BD!O162=0,BD!O162="-"),Q162,BD!O162),"")</f>
        <v>0</v>
      </c>
      <c r="S162" s="12">
        <f>IF(S$148,IF(OR(BD!P162=0,BD!P162="-"),R162,BD!P162),"")</f>
        <v>0</v>
      </c>
    </row>
    <row r="163" spans="1:19">
      <c r="A163" s="34" t="str">
        <f>BD!A163</f>
        <v>Variável 7</v>
      </c>
      <c r="B163" s="155" t="e">
        <f t="shared" ca="1" si="45"/>
        <v>#NAME?</v>
      </c>
      <c r="C163" s="150">
        <f t="shared" ca="1" si="46"/>
        <v>0</v>
      </c>
      <c r="D163" s="156" t="e">
        <f t="shared" ca="1" si="47"/>
        <v>#NAME?</v>
      </c>
      <c r="E163" s="12">
        <f>IF(E$2,IF(BD!B163="-",0,BD!B163+0),0)</f>
        <v>0</v>
      </c>
      <c r="F163" s="12">
        <f>IF(F$148,IF(OR(BD!C163=0,BD!C163="-"),E163,BD!C163),"")</f>
        <v>0</v>
      </c>
      <c r="G163" s="12">
        <f>IF(G$148,IF(OR(BD!D163=0,BD!D163="-"),F163,BD!D163),"")</f>
        <v>0</v>
      </c>
      <c r="H163" s="12">
        <f>IF(H$148,IF(OR(BD!E163=0,BD!E163="-"),G163,BD!E163),"")</f>
        <v>0</v>
      </c>
      <c r="I163" s="12">
        <f>IF(I$148,IF(OR(BD!F163=0,BD!F163="-"),H163,BD!F163),"")</f>
        <v>0</v>
      </c>
      <c r="J163" s="12">
        <f>IF(J$148,IF(OR(BD!G163=0,BD!G163="-"),I163,BD!G163),"")</f>
        <v>0</v>
      </c>
      <c r="K163" s="12">
        <f>IF(K$148,IF(OR(BD!H163=0,BD!H163="-"),J163,BD!H163),"")</f>
        <v>0</v>
      </c>
      <c r="L163" s="12">
        <f>IF(L$148,IF(OR(BD!I163=0,BD!I163="-"),K163,BD!I163),"")</f>
        <v>0</v>
      </c>
      <c r="M163" s="12">
        <f>IF(M$148,IF(OR(BD!J163=0,BD!J163="-"),L163,BD!J163),"")</f>
        <v>0</v>
      </c>
      <c r="N163" s="12">
        <f>IF(N$148,IF(OR(BD!K163=0,BD!K163="-"),M163,BD!K163),"")</f>
        <v>0</v>
      </c>
      <c r="O163" s="12">
        <f>IF(O$148,IF(OR(BD!L163=0,BD!L163="-"),N163,BD!L163),"")</f>
        <v>0</v>
      </c>
      <c r="P163" s="12">
        <f>IF(P$148,IF(OR(BD!M163=0,BD!M163="-"),O163,BD!M163),"")</f>
        <v>0</v>
      </c>
      <c r="Q163" s="12">
        <f>IF(Q$148,IF(OR(BD!N163=0,BD!N163="-"),P163,BD!N163),"")</f>
        <v>0</v>
      </c>
      <c r="R163" s="12">
        <f>IF(R$148,IF(OR(BD!O163=0,BD!O163="-"),Q163,BD!O163),"")</f>
        <v>0</v>
      </c>
      <c r="S163" s="12">
        <f>IF(S$148,IF(OR(BD!P163=0,BD!P163="-"),R163,BD!P163),"")</f>
        <v>0</v>
      </c>
    </row>
    <row r="164" spans="1:19">
      <c r="A164" s="34" t="str">
        <f>BD!A164</f>
        <v>Variável 8</v>
      </c>
      <c r="B164" s="155" t="e">
        <f t="shared" ca="1" si="45"/>
        <v>#NAME?</v>
      </c>
      <c r="C164" s="150">
        <f t="shared" ca="1" si="46"/>
        <v>0</v>
      </c>
      <c r="D164" s="156" t="e">
        <f t="shared" ca="1" si="47"/>
        <v>#NAME?</v>
      </c>
      <c r="E164" s="12">
        <f>IF(E$2,IF(BD!B164="-",0,BD!B164+0),0)</f>
        <v>0</v>
      </c>
      <c r="F164" s="12">
        <f>IF(F$148,IF(OR(BD!C164=0,BD!C164="-"),E164,BD!C164),"")</f>
        <v>0</v>
      </c>
      <c r="G164" s="12">
        <f>IF(G$148,IF(OR(BD!D164=0,BD!D164="-"),F164,BD!D164),"")</f>
        <v>0</v>
      </c>
      <c r="H164" s="12">
        <f>IF(H$148,IF(OR(BD!E164=0,BD!E164="-"),G164,BD!E164),"")</f>
        <v>0</v>
      </c>
      <c r="I164" s="12">
        <f>IF(I$148,IF(OR(BD!F164=0,BD!F164="-"),H164,BD!F164),"")</f>
        <v>0</v>
      </c>
      <c r="J164" s="12">
        <f>IF(J$148,IF(OR(BD!G164=0,BD!G164="-"),I164,BD!G164),"")</f>
        <v>0</v>
      </c>
      <c r="K164" s="12">
        <f>IF(K$148,IF(OR(BD!H164=0,BD!H164="-"),J164,BD!H164),"")</f>
        <v>0</v>
      </c>
      <c r="L164" s="12">
        <f>IF(L$148,IF(OR(BD!I164=0,BD!I164="-"),K164,BD!I164),"")</f>
        <v>0</v>
      </c>
      <c r="M164" s="12">
        <f>IF(M$148,IF(OR(BD!J164=0,BD!J164="-"),L164,BD!J164),"")</f>
        <v>0</v>
      </c>
      <c r="N164" s="12">
        <f>IF(N$148,IF(OR(BD!K164=0,BD!K164="-"),M164,BD!K164),"")</f>
        <v>0</v>
      </c>
      <c r="O164" s="12">
        <f>IF(O$148,IF(OR(BD!L164=0,BD!L164="-"),N164,BD!L164),"")</f>
        <v>0</v>
      </c>
      <c r="P164" s="12">
        <f>IF(P$148,IF(OR(BD!M164=0,BD!M164="-"),O164,BD!M164),"")</f>
        <v>0</v>
      </c>
      <c r="Q164" s="12">
        <f>IF(Q$148,IF(OR(BD!N164=0,BD!N164="-"),P164,BD!N164),"")</f>
        <v>0</v>
      </c>
      <c r="R164" s="12">
        <f>IF(R$148,IF(OR(BD!O164=0,BD!O164="-"),Q164,BD!O164),"")</f>
        <v>0</v>
      </c>
      <c r="S164" s="12">
        <f>IF(S$148,IF(OR(BD!P164=0,BD!P164="-"),R164,BD!P164),"")</f>
        <v>0</v>
      </c>
    </row>
    <row r="165" spans="1:19">
      <c r="A165" s="34" t="str">
        <f>BD!A165</f>
        <v>Variável 9</v>
      </c>
      <c r="B165" s="155" t="e">
        <f t="shared" ca="1" si="45"/>
        <v>#NAME?</v>
      </c>
      <c r="C165" s="150">
        <f t="shared" ca="1" si="46"/>
        <v>0</v>
      </c>
      <c r="D165" s="156" t="e">
        <f t="shared" ca="1" si="47"/>
        <v>#NAME?</v>
      </c>
      <c r="E165" s="12">
        <f>IF(E$2,IF(BD!B165="-",0,BD!B165+0),0)</f>
        <v>0</v>
      </c>
      <c r="F165" s="12">
        <f>IF(F$148,IF(OR(BD!C165=0,BD!C165="-"),E165,BD!C165),"")</f>
        <v>0</v>
      </c>
      <c r="G165" s="12">
        <f>IF(G$148,IF(OR(BD!D165=0,BD!D165="-"),F165,BD!D165),"")</f>
        <v>0</v>
      </c>
      <c r="H165" s="12">
        <f>IF(H$148,IF(OR(BD!E165=0,BD!E165="-"),G165,BD!E165),"")</f>
        <v>0</v>
      </c>
      <c r="I165" s="12">
        <f>IF(I$148,IF(OR(BD!F165=0,BD!F165="-"),H165,BD!F165),"")</f>
        <v>0</v>
      </c>
      <c r="J165" s="12">
        <f>IF(J$148,IF(OR(BD!G165=0,BD!G165="-"),I165,BD!G165),"")</f>
        <v>0</v>
      </c>
      <c r="K165" s="12">
        <f>IF(K$148,IF(OR(BD!H165=0,BD!H165="-"),J165,BD!H165),"")</f>
        <v>0</v>
      </c>
      <c r="L165" s="12">
        <f>IF(L$148,IF(OR(BD!I165=0,BD!I165="-"),K165,BD!I165),"")</f>
        <v>0</v>
      </c>
      <c r="M165" s="12">
        <f>IF(M$148,IF(OR(BD!J165=0,BD!J165="-"),L165,BD!J165),"")</f>
        <v>0</v>
      </c>
      <c r="N165" s="12">
        <f>IF(N$148,IF(OR(BD!K165=0,BD!K165="-"),M165,BD!K165),"")</f>
        <v>0</v>
      </c>
      <c r="O165" s="12">
        <f>IF(O$148,IF(OR(BD!L165=0,BD!L165="-"),N165,BD!L165),"")</f>
        <v>0</v>
      </c>
      <c r="P165" s="12">
        <f>IF(P$148,IF(OR(BD!M165=0,BD!M165="-"),O165,BD!M165),"")</f>
        <v>0</v>
      </c>
      <c r="Q165" s="12">
        <f>IF(Q$148,IF(OR(BD!N165=0,BD!N165="-"),P165,BD!N165),"")</f>
        <v>0</v>
      </c>
      <c r="R165" s="12">
        <f>IF(R$148,IF(OR(BD!O165=0,BD!O165="-"),Q165,BD!O165),"")</f>
        <v>0</v>
      </c>
      <c r="S165" s="12">
        <f>IF(S$148,IF(OR(BD!P165=0,BD!P165="-"),R165,BD!P165),"")</f>
        <v>0</v>
      </c>
    </row>
    <row r="166" spans="1:19">
      <c r="A166" s="34" t="str">
        <f>BD!A166</f>
        <v>Variável 10</v>
      </c>
      <c r="B166" s="155" t="e">
        <f t="shared" ca="1" si="45"/>
        <v>#NAME?</v>
      </c>
      <c r="C166" s="150">
        <f t="shared" ca="1" si="46"/>
        <v>0</v>
      </c>
      <c r="D166" s="156" t="e">
        <f t="shared" ca="1" si="47"/>
        <v>#NAME?</v>
      </c>
      <c r="E166" s="12">
        <f>IF(E$2,IF(BD!B166="-",0,BD!B166+0),0)</f>
        <v>0</v>
      </c>
      <c r="F166" s="12">
        <f>IF(F$148,IF(OR(BD!C166=0,BD!C166="-"),E166,BD!C166),"")</f>
        <v>0</v>
      </c>
      <c r="G166" s="12">
        <f>IF(G$148,IF(OR(BD!D166=0,BD!D166="-"),F166,BD!D166),"")</f>
        <v>0</v>
      </c>
      <c r="H166" s="12">
        <f>IF(H$148,IF(OR(BD!E166=0,BD!E166="-"),G166,BD!E166),"")</f>
        <v>0</v>
      </c>
      <c r="I166" s="12">
        <f>IF(I$148,IF(OR(BD!F166=0,BD!F166="-"),H166,BD!F166),"")</f>
        <v>0</v>
      </c>
      <c r="J166" s="12">
        <f>IF(J$148,IF(OR(BD!G166=0,BD!G166="-"),I166,BD!G166),"")</f>
        <v>0</v>
      </c>
      <c r="K166" s="12">
        <f>IF(K$148,IF(OR(BD!H166=0,BD!H166="-"),J166,BD!H166),"")</f>
        <v>0</v>
      </c>
      <c r="L166" s="12">
        <f>IF(L$148,IF(OR(BD!I166=0,BD!I166="-"),K166,BD!I166),"")</f>
        <v>0</v>
      </c>
      <c r="M166" s="12">
        <f>IF(M$148,IF(OR(BD!J166=0,BD!J166="-"),L166,BD!J166),"")</f>
        <v>0</v>
      </c>
      <c r="N166" s="12">
        <f>IF(N$148,IF(OR(BD!K166=0,BD!K166="-"),M166,BD!K166),"")</f>
        <v>0</v>
      </c>
      <c r="O166" s="12">
        <f>IF(O$148,IF(OR(BD!L166=0,BD!L166="-"),N166,BD!L166),"")</f>
        <v>0</v>
      </c>
      <c r="P166" s="12">
        <f>IF(P$148,IF(OR(BD!M166=0,BD!M166="-"),O166,BD!M166),"")</f>
        <v>0</v>
      </c>
      <c r="Q166" s="12">
        <f>IF(Q$148,IF(OR(BD!N166=0,BD!N166="-"),P166,BD!N166),"")</f>
        <v>0</v>
      </c>
      <c r="R166" s="12">
        <f>IF(R$148,IF(OR(BD!O166=0,BD!O166="-"),Q166,BD!O166),"")</f>
        <v>0</v>
      </c>
      <c r="S166" s="12">
        <f>IF(S$148,IF(OR(BD!P166=0,BD!P166="-"),R166,BD!P166),"")</f>
        <v>0</v>
      </c>
    </row>
    <row r="167" spans="1:19">
      <c r="B167" s="12"/>
      <c r="C167" s="12"/>
      <c r="D167" s="12"/>
      <c r="E167" s="12"/>
      <c r="F167" s="12"/>
      <c r="G167" s="12"/>
      <c r="H167" s="12"/>
      <c r="I167" s="12"/>
      <c r="J167" s="12"/>
      <c r="K167" s="12"/>
      <c r="L167" s="12"/>
      <c r="M167" s="12"/>
      <c r="N167" s="12"/>
      <c r="O167" s="12"/>
      <c r="P167" s="12"/>
      <c r="Q167" s="12"/>
      <c r="R167" s="12"/>
      <c r="S167" s="12"/>
    </row>
    <row r="168" spans="1:19">
      <c r="B168" s="12"/>
      <c r="C168" s="12"/>
      <c r="D168" s="12"/>
      <c r="E168" s="12"/>
      <c r="F168" s="12"/>
      <c r="G168" s="12"/>
      <c r="H168" s="12"/>
      <c r="I168" s="12"/>
      <c r="J168" s="12"/>
      <c r="K168" s="12"/>
      <c r="L168" s="12"/>
      <c r="M168" s="12"/>
      <c r="N168" s="12"/>
      <c r="O168" s="12"/>
      <c r="P168" s="12"/>
      <c r="Q168" s="12"/>
      <c r="R168" s="12"/>
      <c r="S168" s="12"/>
    </row>
    <row r="169" spans="1:19">
      <c r="B169" s="12"/>
      <c r="C169" s="12"/>
      <c r="D169" s="12"/>
      <c r="E169" s="12"/>
      <c r="F169" s="12"/>
      <c r="G169" s="12"/>
      <c r="H169" s="12"/>
      <c r="I169" s="12"/>
      <c r="J169" s="12"/>
      <c r="K169" s="12"/>
      <c r="L169" s="12"/>
      <c r="M169" s="12"/>
      <c r="N169" s="12"/>
      <c r="O169" s="12"/>
      <c r="P169" s="12"/>
      <c r="Q169" s="12"/>
      <c r="R169" s="12"/>
      <c r="S169" s="12"/>
    </row>
    <row r="170" spans="1:19">
      <c r="B170" s="12"/>
      <c r="C170" s="12"/>
      <c r="D170" s="12"/>
      <c r="E170" s="12"/>
      <c r="F170" s="12"/>
      <c r="G170" s="12"/>
      <c r="H170" s="12"/>
      <c r="I170" s="12"/>
      <c r="J170" s="12"/>
      <c r="K170" s="12"/>
      <c r="L170" s="12"/>
      <c r="M170" s="12"/>
      <c r="N170" s="12"/>
      <c r="O170" s="12"/>
      <c r="P170" s="12"/>
      <c r="Q170" s="12"/>
      <c r="R170" s="12"/>
      <c r="S170" s="12"/>
    </row>
    <row r="171" spans="1:19">
      <c r="B171" s="12"/>
      <c r="C171" s="12"/>
      <c r="D171" s="12"/>
      <c r="E171" s="12"/>
      <c r="F171" s="12"/>
      <c r="G171" s="12"/>
      <c r="H171" s="12"/>
      <c r="I171" s="12"/>
      <c r="J171" s="12"/>
      <c r="K171" s="12"/>
      <c r="L171" s="12"/>
      <c r="M171" s="12"/>
      <c r="N171" s="12"/>
      <c r="O171" s="12"/>
      <c r="P171" s="12"/>
      <c r="Q171" s="12"/>
      <c r="R171" s="12"/>
      <c r="S171" s="12"/>
    </row>
    <row r="172" spans="1:19">
      <c r="B172" s="12"/>
      <c r="C172" s="12"/>
      <c r="D172" s="12"/>
      <c r="E172" s="12"/>
      <c r="F172" s="12"/>
      <c r="G172" s="12"/>
      <c r="H172" s="12"/>
      <c r="I172" s="12"/>
      <c r="J172" s="12"/>
      <c r="K172" s="12"/>
      <c r="L172" s="12"/>
      <c r="M172" s="12"/>
      <c r="N172" s="12"/>
      <c r="O172" s="12"/>
      <c r="P172" s="12"/>
      <c r="Q172" s="12"/>
      <c r="R172" s="12"/>
      <c r="S172" s="12"/>
    </row>
    <row r="173" spans="1:19">
      <c r="B173" s="12"/>
      <c r="C173" s="12"/>
      <c r="D173" s="12"/>
      <c r="E173" s="12"/>
      <c r="F173" s="12"/>
      <c r="G173" s="12"/>
      <c r="H173" s="12"/>
      <c r="I173" s="12"/>
      <c r="J173" s="12"/>
      <c r="K173" s="12"/>
      <c r="L173" s="12"/>
      <c r="M173" s="12"/>
      <c r="N173" s="12"/>
      <c r="O173" s="12"/>
      <c r="P173" s="12"/>
      <c r="Q173" s="12"/>
      <c r="R173" s="12"/>
      <c r="S173" s="12"/>
    </row>
    <row r="174" spans="1:19">
      <c r="B174" s="12"/>
      <c r="C174" s="12"/>
      <c r="D174" s="12"/>
      <c r="E174" s="12"/>
      <c r="F174" s="12"/>
      <c r="G174" s="12"/>
      <c r="H174" s="12"/>
      <c r="I174" s="12"/>
      <c r="J174" s="12"/>
      <c r="K174" s="12"/>
      <c r="L174" s="12"/>
      <c r="M174" s="12"/>
      <c r="N174" s="12"/>
      <c r="O174" s="12"/>
      <c r="P174" s="12"/>
      <c r="Q174" s="12"/>
      <c r="R174" s="12"/>
      <c r="S174" s="12"/>
    </row>
    <row r="175" spans="1:19">
      <c r="B175" s="12"/>
      <c r="C175" s="12"/>
      <c r="D175" s="12"/>
      <c r="E175" s="12"/>
      <c r="F175" s="12"/>
      <c r="G175" s="12"/>
      <c r="H175" s="12"/>
      <c r="I175" s="12"/>
      <c r="J175" s="12"/>
      <c r="K175" s="12"/>
      <c r="L175" s="12"/>
      <c r="M175" s="12"/>
      <c r="N175" s="12"/>
      <c r="O175" s="12"/>
      <c r="P175" s="12"/>
      <c r="Q175" s="12"/>
      <c r="R175" s="12"/>
      <c r="S175" s="12"/>
    </row>
    <row r="176" spans="1:19">
      <c r="B176" s="12"/>
      <c r="C176" s="12"/>
      <c r="D176" s="12"/>
      <c r="E176" s="12"/>
      <c r="F176" s="12"/>
      <c r="G176" s="12"/>
      <c r="H176" s="12"/>
      <c r="I176" s="12"/>
      <c r="J176" s="12"/>
      <c r="K176" s="12"/>
      <c r="L176" s="12"/>
      <c r="M176" s="12"/>
      <c r="N176" s="12"/>
      <c r="O176" s="12"/>
      <c r="P176" s="12"/>
      <c r="Q176" s="12"/>
      <c r="R176" s="12"/>
      <c r="S176" s="12"/>
    </row>
    <row r="177" spans="2:19">
      <c r="B177" s="12"/>
      <c r="C177" s="12"/>
      <c r="D177" s="12"/>
      <c r="E177" s="12"/>
      <c r="F177" s="12"/>
      <c r="G177" s="12"/>
      <c r="H177" s="12"/>
      <c r="I177" s="12"/>
      <c r="J177" s="12"/>
      <c r="K177" s="12"/>
      <c r="L177" s="12"/>
      <c r="M177" s="12"/>
      <c r="N177" s="12"/>
      <c r="O177" s="12"/>
      <c r="P177" s="12"/>
      <c r="Q177" s="12"/>
      <c r="R177" s="12"/>
      <c r="S177" s="12"/>
    </row>
    <row r="178" spans="2:19">
      <c r="B178" s="12"/>
      <c r="C178" s="12"/>
      <c r="D178" s="12"/>
      <c r="E178" s="12"/>
      <c r="F178" s="12"/>
      <c r="G178" s="12"/>
      <c r="H178" s="12"/>
      <c r="I178" s="12"/>
      <c r="J178" s="12"/>
      <c r="K178" s="12"/>
      <c r="L178" s="12"/>
      <c r="M178" s="12"/>
      <c r="N178" s="12"/>
      <c r="O178" s="12"/>
      <c r="P178" s="12"/>
      <c r="Q178" s="12"/>
      <c r="R178" s="12"/>
      <c r="S178" s="12"/>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73"/>
  <sheetViews>
    <sheetView topLeftCell="A22" workbookViewId="0">
      <selection activeCell="B9" sqref="B9:G9"/>
    </sheetView>
  </sheetViews>
  <sheetFormatPr defaultColWidth="12.5703125" defaultRowHeight="15.75" customHeight="1"/>
  <cols>
    <col min="1" max="1" width="5.85546875" customWidth="1"/>
    <col min="2" max="2" width="18.42578125" customWidth="1"/>
    <col min="8" max="8" width="3.5703125" customWidth="1"/>
    <col min="9" max="9" width="18.5703125" customWidth="1"/>
    <col min="15" max="15" width="3.5703125" customWidth="1"/>
    <col min="16" max="16" width="51.7109375" customWidth="1"/>
    <col min="17" max="17" width="3.5703125" customWidth="1"/>
    <col min="18" max="18" width="50.5703125" customWidth="1"/>
    <col min="19" max="19" width="3.5703125" customWidth="1"/>
  </cols>
  <sheetData>
    <row r="1" spans="1:19">
      <c r="A1" s="41"/>
      <c r="B1" s="490" t="s">
        <v>462</v>
      </c>
      <c r="C1" s="294"/>
      <c r="D1" s="294"/>
      <c r="E1" s="294"/>
      <c r="F1" s="294"/>
      <c r="G1" s="294"/>
      <c r="H1" s="160"/>
      <c r="I1" s="491" t="s">
        <v>463</v>
      </c>
      <c r="J1" s="294"/>
      <c r="K1" s="294"/>
      <c r="L1" s="294"/>
      <c r="M1" s="294"/>
      <c r="N1" s="294"/>
      <c r="O1" s="161"/>
      <c r="P1" s="492" t="s">
        <v>464</v>
      </c>
      <c r="Q1" s="294"/>
      <c r="R1" s="294"/>
      <c r="S1" s="161"/>
    </row>
    <row r="2" spans="1:19">
      <c r="A2" s="41"/>
      <c r="B2" s="76"/>
      <c r="C2" s="41"/>
      <c r="D2" s="41"/>
      <c r="E2" s="41"/>
      <c r="F2" s="41"/>
      <c r="G2" s="41"/>
      <c r="H2" s="160"/>
      <c r="I2" s="76"/>
      <c r="J2" s="41"/>
      <c r="K2" s="41"/>
      <c r="L2" s="41"/>
      <c r="M2" s="41"/>
      <c r="N2" s="41"/>
      <c r="O2" s="161"/>
      <c r="P2" s="69" t="s">
        <v>465</v>
      </c>
      <c r="Q2" s="161"/>
      <c r="R2" s="69" t="s">
        <v>466</v>
      </c>
      <c r="S2" s="161"/>
    </row>
    <row r="3" spans="1:19">
      <c r="A3" s="489" t="s">
        <v>467</v>
      </c>
      <c r="B3" s="162" t="s">
        <v>468</v>
      </c>
      <c r="C3" s="162" t="s">
        <v>469</v>
      </c>
      <c r="D3" s="162" t="s">
        <v>435</v>
      </c>
      <c r="E3" s="162" t="s">
        <v>470</v>
      </c>
      <c r="F3" s="162" t="s">
        <v>471</v>
      </c>
      <c r="G3" s="162" t="s">
        <v>55</v>
      </c>
      <c r="H3" s="160"/>
      <c r="I3" s="163" t="s">
        <v>173</v>
      </c>
      <c r="J3" s="163" t="s">
        <v>469</v>
      </c>
      <c r="K3" s="163" t="s">
        <v>435</v>
      </c>
      <c r="L3" s="163" t="s">
        <v>470</v>
      </c>
      <c r="M3" s="163" t="s">
        <v>471</v>
      </c>
      <c r="N3" s="163" t="s">
        <v>55</v>
      </c>
      <c r="O3" s="161"/>
      <c r="P3" s="69" t="s">
        <v>325</v>
      </c>
      <c r="Q3" s="161"/>
      <c r="R3" s="69" t="s">
        <v>332</v>
      </c>
      <c r="S3" s="161"/>
    </row>
    <row r="4" spans="1:19">
      <c r="A4" s="294"/>
      <c r="B4" s="162" t="s">
        <v>472</v>
      </c>
      <c r="C4" s="164" t="s">
        <v>473</v>
      </c>
      <c r="D4" s="164" t="s">
        <v>474</v>
      </c>
      <c r="E4" s="164" t="s">
        <v>475</v>
      </c>
      <c r="F4" s="164" t="s">
        <v>476</v>
      </c>
      <c r="G4" s="164" t="s">
        <v>55</v>
      </c>
      <c r="H4" s="160"/>
      <c r="I4" s="163" t="s">
        <v>472</v>
      </c>
      <c r="J4" s="165" t="s">
        <v>477</v>
      </c>
      <c r="K4" s="165" t="s">
        <v>478</v>
      </c>
      <c r="L4" s="165" t="s">
        <v>479</v>
      </c>
      <c r="M4" s="165" t="s">
        <v>480</v>
      </c>
      <c r="N4" s="165" t="s">
        <v>55</v>
      </c>
      <c r="O4" s="161"/>
      <c r="P4" s="386"/>
      <c r="Q4" s="161"/>
      <c r="R4" s="386"/>
      <c r="S4" s="161"/>
    </row>
    <row r="5" spans="1:19">
      <c r="A5" s="294"/>
      <c r="B5" s="162" t="s">
        <v>481</v>
      </c>
      <c r="C5" s="164" t="s">
        <v>482</v>
      </c>
      <c r="D5" s="164" t="s">
        <v>483</v>
      </c>
      <c r="E5" s="164" t="s">
        <v>484</v>
      </c>
      <c r="F5" s="164" t="s">
        <v>485</v>
      </c>
      <c r="G5" s="164" t="s">
        <v>55</v>
      </c>
      <c r="H5" s="160"/>
      <c r="I5" s="163" t="s">
        <v>481</v>
      </c>
      <c r="J5" s="165" t="s">
        <v>486</v>
      </c>
      <c r="K5" s="165" t="s">
        <v>487</v>
      </c>
      <c r="L5" s="165" t="s">
        <v>488</v>
      </c>
      <c r="M5" s="165" t="s">
        <v>489</v>
      </c>
      <c r="N5" s="165" t="s">
        <v>55</v>
      </c>
      <c r="O5" s="161"/>
      <c r="P5" s="294"/>
      <c r="Q5" s="161"/>
      <c r="R5" s="294"/>
      <c r="S5" s="161"/>
    </row>
    <row r="6" spans="1:19">
      <c r="A6" s="294"/>
      <c r="B6" s="162" t="s">
        <v>490</v>
      </c>
      <c r="C6" s="164" t="s">
        <v>491</v>
      </c>
      <c r="D6" s="164" t="s">
        <v>492</v>
      </c>
      <c r="E6" s="164" t="s">
        <v>493</v>
      </c>
      <c r="F6" s="164" t="s">
        <v>494</v>
      </c>
      <c r="G6" s="164" t="s">
        <v>55</v>
      </c>
      <c r="H6" s="160"/>
      <c r="I6" s="163" t="s">
        <v>490</v>
      </c>
      <c r="J6" s="165" t="s">
        <v>495</v>
      </c>
      <c r="K6" s="165" t="s">
        <v>496</v>
      </c>
      <c r="L6" s="165" t="s">
        <v>497</v>
      </c>
      <c r="M6" s="165" t="s">
        <v>498</v>
      </c>
      <c r="N6" s="165" t="s">
        <v>55</v>
      </c>
      <c r="O6" s="161"/>
      <c r="P6" s="294"/>
      <c r="Q6" s="161"/>
      <c r="R6" s="294"/>
      <c r="S6" s="161"/>
    </row>
    <row r="7" spans="1:19">
      <c r="A7" s="294"/>
      <c r="B7" s="162" t="s">
        <v>499</v>
      </c>
      <c r="C7" s="164" t="s">
        <v>500</v>
      </c>
      <c r="D7" s="164" t="s">
        <v>501</v>
      </c>
      <c r="E7" s="164" t="s">
        <v>502</v>
      </c>
      <c r="F7" s="164" t="s">
        <v>503</v>
      </c>
      <c r="G7" s="164" t="s">
        <v>55</v>
      </c>
      <c r="H7" s="160"/>
      <c r="I7" s="163" t="s">
        <v>499</v>
      </c>
      <c r="J7" s="165" t="s">
        <v>504</v>
      </c>
      <c r="K7" s="165" t="s">
        <v>505</v>
      </c>
      <c r="L7" s="165" t="s">
        <v>506</v>
      </c>
      <c r="M7" s="165" t="s">
        <v>507</v>
      </c>
      <c r="N7" s="165" t="s">
        <v>55</v>
      </c>
      <c r="O7" s="161"/>
      <c r="P7" s="294"/>
      <c r="Q7" s="161"/>
      <c r="R7" s="294"/>
      <c r="S7" s="161"/>
    </row>
    <row r="8" spans="1:19">
      <c r="A8" s="294"/>
      <c r="B8" s="162" t="s">
        <v>508</v>
      </c>
      <c r="C8" s="164" t="s">
        <v>509</v>
      </c>
      <c r="D8" s="164" t="s">
        <v>510</v>
      </c>
      <c r="E8" s="164" t="s">
        <v>511</v>
      </c>
      <c r="F8" s="164" t="s">
        <v>512</v>
      </c>
      <c r="G8" s="164" t="s">
        <v>55</v>
      </c>
      <c r="H8" s="160"/>
      <c r="I8" s="163" t="s">
        <v>508</v>
      </c>
      <c r="J8" s="165" t="s">
        <v>513</v>
      </c>
      <c r="K8" s="165" t="s">
        <v>479</v>
      </c>
      <c r="L8" s="165" t="s">
        <v>514</v>
      </c>
      <c r="M8" s="165" t="s">
        <v>515</v>
      </c>
      <c r="N8" s="165" t="s">
        <v>55</v>
      </c>
      <c r="O8" s="161"/>
      <c r="P8" s="294"/>
      <c r="Q8" s="161"/>
      <c r="R8" s="294"/>
      <c r="S8" s="161"/>
    </row>
    <row r="9" spans="1:19">
      <c r="B9" s="509" t="s">
        <v>516</v>
      </c>
      <c r="C9" s="294"/>
      <c r="D9" s="294"/>
      <c r="E9" s="294"/>
      <c r="F9" s="294"/>
      <c r="G9" s="294"/>
      <c r="H9" s="160"/>
      <c r="I9" s="493" t="s">
        <v>516</v>
      </c>
      <c r="J9" s="294"/>
      <c r="K9" s="294"/>
      <c r="L9" s="294"/>
      <c r="M9" s="294"/>
      <c r="N9" s="294"/>
      <c r="O9" s="161"/>
      <c r="P9" s="294"/>
      <c r="Q9" s="161"/>
      <c r="R9" s="294"/>
      <c r="S9" s="161"/>
    </row>
    <row r="10" spans="1:19">
      <c r="H10" s="160"/>
      <c r="O10" s="161"/>
      <c r="P10" s="294"/>
      <c r="Q10" s="161"/>
      <c r="R10" s="294"/>
      <c r="S10" s="161"/>
    </row>
    <row r="11" spans="1:19">
      <c r="A11" s="489" t="s">
        <v>517</v>
      </c>
      <c r="B11" s="162" t="s">
        <v>468</v>
      </c>
      <c r="C11" s="166" t="s">
        <v>518</v>
      </c>
      <c r="D11" s="166" t="s">
        <v>519</v>
      </c>
      <c r="E11" s="166" t="s">
        <v>520</v>
      </c>
      <c r="F11" s="166" t="s">
        <v>521</v>
      </c>
      <c r="G11" s="166" t="s">
        <v>522</v>
      </c>
      <c r="H11" s="160"/>
      <c r="I11" s="163" t="s">
        <v>173</v>
      </c>
      <c r="J11" s="167" t="s">
        <v>518</v>
      </c>
      <c r="K11" s="167" t="s">
        <v>519</v>
      </c>
      <c r="L11" s="167" t="s">
        <v>520</v>
      </c>
      <c r="M11" s="167" t="s">
        <v>521</v>
      </c>
      <c r="N11" s="167" t="s">
        <v>522</v>
      </c>
      <c r="O11" s="161"/>
      <c r="Q11" s="161"/>
      <c r="S11" s="161"/>
    </row>
    <row r="12" spans="1:19">
      <c r="A12" s="294"/>
      <c r="B12" s="162" t="s">
        <v>523</v>
      </c>
      <c r="C12" s="164" t="s">
        <v>524</v>
      </c>
      <c r="D12" s="164" t="s">
        <v>525</v>
      </c>
      <c r="E12" s="164" t="s">
        <v>526</v>
      </c>
      <c r="F12" s="164" t="s">
        <v>527</v>
      </c>
      <c r="G12" s="164" t="s">
        <v>528</v>
      </c>
      <c r="H12" s="160"/>
      <c r="I12" s="163" t="s">
        <v>523</v>
      </c>
      <c r="J12" s="165" t="s">
        <v>529</v>
      </c>
      <c r="K12" s="165" t="s">
        <v>530</v>
      </c>
      <c r="L12" s="165" t="s">
        <v>531</v>
      </c>
      <c r="M12" s="165" t="s">
        <v>532</v>
      </c>
      <c r="N12" s="165" t="s">
        <v>533</v>
      </c>
      <c r="O12" s="161"/>
      <c r="P12" s="69" t="s">
        <v>326</v>
      </c>
      <c r="Q12" s="161"/>
      <c r="R12" s="69" t="s">
        <v>326</v>
      </c>
      <c r="S12" s="161"/>
    </row>
    <row r="13" spans="1:19">
      <c r="A13" s="294"/>
      <c r="B13" s="162" t="s">
        <v>472</v>
      </c>
      <c r="C13" s="164" t="s">
        <v>534</v>
      </c>
      <c r="D13" s="164" t="s">
        <v>535</v>
      </c>
      <c r="E13" s="164" t="s">
        <v>536</v>
      </c>
      <c r="F13" s="164" t="s">
        <v>537</v>
      </c>
      <c r="G13" s="164" t="s">
        <v>538</v>
      </c>
      <c r="H13" s="160"/>
      <c r="I13" s="163" t="s">
        <v>472</v>
      </c>
      <c r="J13" s="165" t="s">
        <v>539</v>
      </c>
      <c r="K13" s="165" t="s">
        <v>540</v>
      </c>
      <c r="L13" s="165" t="s">
        <v>541</v>
      </c>
      <c r="M13" s="165" t="s">
        <v>542</v>
      </c>
      <c r="N13" s="165" t="s">
        <v>543</v>
      </c>
      <c r="O13" s="161"/>
      <c r="P13" s="386"/>
      <c r="Q13" s="161"/>
      <c r="R13" s="386"/>
      <c r="S13" s="161"/>
    </row>
    <row r="14" spans="1:19">
      <c r="A14" s="294"/>
      <c r="B14" s="162" t="s">
        <v>481</v>
      </c>
      <c r="C14" s="164" t="s">
        <v>544</v>
      </c>
      <c r="D14" s="164" t="s">
        <v>545</v>
      </c>
      <c r="E14" s="164" t="s">
        <v>546</v>
      </c>
      <c r="F14" s="164" t="s">
        <v>542</v>
      </c>
      <c r="G14" s="164" t="s">
        <v>543</v>
      </c>
      <c r="H14" s="160"/>
      <c r="I14" s="163" t="s">
        <v>481</v>
      </c>
      <c r="J14" s="165" t="s">
        <v>547</v>
      </c>
      <c r="K14" s="165" t="s">
        <v>548</v>
      </c>
      <c r="L14" s="165" t="s">
        <v>549</v>
      </c>
      <c r="M14" s="165" t="s">
        <v>550</v>
      </c>
      <c r="N14" s="165" t="s">
        <v>551</v>
      </c>
      <c r="O14" s="161"/>
      <c r="P14" s="294"/>
      <c r="Q14" s="161"/>
      <c r="R14" s="294"/>
      <c r="S14" s="161"/>
    </row>
    <row r="15" spans="1:19">
      <c r="A15" s="294"/>
      <c r="B15" s="162" t="s">
        <v>490</v>
      </c>
      <c r="C15" s="164" t="s">
        <v>552</v>
      </c>
      <c r="D15" s="164" t="s">
        <v>553</v>
      </c>
      <c r="E15" s="164" t="s">
        <v>554</v>
      </c>
      <c r="F15" s="164" t="s">
        <v>555</v>
      </c>
      <c r="G15" s="164" t="s">
        <v>556</v>
      </c>
      <c r="H15" s="160"/>
      <c r="I15" s="163" t="s">
        <v>490</v>
      </c>
      <c r="J15" s="165" t="s">
        <v>557</v>
      </c>
      <c r="K15" s="165" t="s">
        <v>558</v>
      </c>
      <c r="L15" s="165" t="s">
        <v>548</v>
      </c>
      <c r="M15" s="165" t="s">
        <v>559</v>
      </c>
      <c r="N15" s="165" t="s">
        <v>560</v>
      </c>
      <c r="O15" s="161"/>
      <c r="P15" s="294"/>
      <c r="Q15" s="161"/>
      <c r="R15" s="294"/>
      <c r="S15" s="161"/>
    </row>
    <row r="16" spans="1:19">
      <c r="A16" s="294"/>
      <c r="B16" s="162" t="s">
        <v>499</v>
      </c>
      <c r="C16" s="164" t="s">
        <v>561</v>
      </c>
      <c r="D16" s="164" t="s">
        <v>562</v>
      </c>
      <c r="E16" s="164" t="s">
        <v>563</v>
      </c>
      <c r="F16" s="164" t="s">
        <v>554</v>
      </c>
      <c r="G16" s="164" t="s">
        <v>564</v>
      </c>
      <c r="H16" s="160"/>
      <c r="I16" s="163" t="s">
        <v>499</v>
      </c>
      <c r="J16" s="165" t="s">
        <v>565</v>
      </c>
      <c r="K16" s="168">
        <v>45019</v>
      </c>
      <c r="L16" s="168">
        <v>45235</v>
      </c>
      <c r="M16" s="165" t="s">
        <v>566</v>
      </c>
      <c r="N16" s="165" t="s">
        <v>567</v>
      </c>
      <c r="O16" s="161"/>
      <c r="P16" s="294"/>
      <c r="Q16" s="161"/>
      <c r="R16" s="294"/>
      <c r="S16" s="161"/>
    </row>
    <row r="17" spans="1:19">
      <c r="A17" s="294"/>
      <c r="B17" s="162" t="s">
        <v>508</v>
      </c>
      <c r="C17" s="164" t="s">
        <v>557</v>
      </c>
      <c r="D17" s="169">
        <v>45237</v>
      </c>
      <c r="E17" s="164" t="s">
        <v>568</v>
      </c>
      <c r="F17" s="164" t="s">
        <v>569</v>
      </c>
      <c r="G17" s="164" t="s">
        <v>570</v>
      </c>
      <c r="H17" s="160"/>
      <c r="I17" s="163" t="s">
        <v>508</v>
      </c>
      <c r="J17" s="165" t="s">
        <v>571</v>
      </c>
      <c r="K17" s="168">
        <v>44987</v>
      </c>
      <c r="L17" s="168">
        <v>45234</v>
      </c>
      <c r="M17" s="165" t="s">
        <v>572</v>
      </c>
      <c r="N17" s="165" t="s">
        <v>573</v>
      </c>
      <c r="O17" s="161"/>
      <c r="P17" s="294"/>
      <c r="Q17" s="161"/>
      <c r="R17" s="294"/>
      <c r="S17" s="161"/>
    </row>
    <row r="18" spans="1:19">
      <c r="A18" s="170"/>
      <c r="B18" s="493" t="s">
        <v>574</v>
      </c>
      <c r="C18" s="294"/>
      <c r="D18" s="294"/>
      <c r="E18" s="294"/>
      <c r="F18" s="294"/>
      <c r="G18" s="294"/>
      <c r="H18" s="160"/>
      <c r="I18" s="493" t="s">
        <v>574</v>
      </c>
      <c r="J18" s="294"/>
      <c r="K18" s="294"/>
      <c r="L18" s="294"/>
      <c r="M18" s="294"/>
      <c r="N18" s="294"/>
      <c r="O18" s="161"/>
      <c r="P18" s="294"/>
      <c r="Q18" s="161"/>
      <c r="R18" s="294"/>
      <c r="S18" s="161"/>
    </row>
    <row r="19" spans="1:19">
      <c r="A19" s="170"/>
      <c r="B19" s="76"/>
      <c r="C19" s="41"/>
      <c r="D19" s="41"/>
      <c r="E19" s="41"/>
      <c r="F19" s="41"/>
      <c r="G19" s="41"/>
      <c r="H19" s="160"/>
      <c r="I19" s="76"/>
      <c r="J19" s="41"/>
      <c r="K19" s="41"/>
      <c r="L19" s="41"/>
      <c r="M19" s="41"/>
      <c r="N19" s="41"/>
      <c r="O19" s="161"/>
      <c r="P19" s="294"/>
      <c r="Q19" s="161"/>
      <c r="R19" s="294"/>
      <c r="S19" s="161"/>
    </row>
    <row r="20" spans="1:19">
      <c r="A20" s="489" t="s">
        <v>575</v>
      </c>
      <c r="B20" s="166" t="s">
        <v>576</v>
      </c>
      <c r="C20" s="166" t="s">
        <v>518</v>
      </c>
      <c r="D20" s="166" t="s">
        <v>519</v>
      </c>
      <c r="E20" s="166" t="s">
        <v>520</v>
      </c>
      <c r="F20" s="166" t="s">
        <v>521</v>
      </c>
      <c r="G20" s="166" t="s">
        <v>522</v>
      </c>
      <c r="H20" s="160"/>
      <c r="I20" s="167" t="s">
        <v>577</v>
      </c>
      <c r="J20" s="167" t="s">
        <v>518</v>
      </c>
      <c r="K20" s="167" t="s">
        <v>519</v>
      </c>
      <c r="L20" s="167" t="s">
        <v>520</v>
      </c>
      <c r="M20" s="167" t="s">
        <v>521</v>
      </c>
      <c r="N20" s="167" t="s">
        <v>522</v>
      </c>
      <c r="O20" s="161"/>
      <c r="P20" s="41"/>
      <c r="Q20" s="161"/>
      <c r="R20" s="41"/>
      <c r="S20" s="161"/>
    </row>
    <row r="21" spans="1:19">
      <c r="A21" s="294"/>
      <c r="B21" s="162" t="s">
        <v>523</v>
      </c>
      <c r="C21" s="164" t="s">
        <v>578</v>
      </c>
      <c r="D21" s="164" t="s">
        <v>579</v>
      </c>
      <c r="E21" s="164" t="s">
        <v>580</v>
      </c>
      <c r="F21" s="164" t="s">
        <v>581</v>
      </c>
      <c r="G21" s="164" t="s">
        <v>582</v>
      </c>
      <c r="H21" s="160"/>
      <c r="I21" s="163" t="s">
        <v>523</v>
      </c>
      <c r="J21" s="165" t="s">
        <v>583</v>
      </c>
      <c r="K21" s="165" t="s">
        <v>584</v>
      </c>
      <c r="L21" s="165" t="s">
        <v>585</v>
      </c>
      <c r="M21" s="165" t="s">
        <v>586</v>
      </c>
      <c r="N21" s="165" t="s">
        <v>587</v>
      </c>
      <c r="O21" s="161"/>
      <c r="P21" s="69" t="s">
        <v>327</v>
      </c>
      <c r="Q21" s="161"/>
      <c r="R21" s="69" t="s">
        <v>333</v>
      </c>
      <c r="S21" s="161"/>
    </row>
    <row r="22" spans="1:19">
      <c r="A22" s="294"/>
      <c r="B22" s="162" t="s">
        <v>472</v>
      </c>
      <c r="C22" s="164" t="s">
        <v>552</v>
      </c>
      <c r="D22" s="164" t="s">
        <v>553</v>
      </c>
      <c r="E22" s="164" t="s">
        <v>588</v>
      </c>
      <c r="F22" s="164" t="s">
        <v>589</v>
      </c>
      <c r="G22" s="164" t="s">
        <v>590</v>
      </c>
      <c r="H22" s="160"/>
      <c r="I22" s="163" t="s">
        <v>472</v>
      </c>
      <c r="J22" s="165" t="s">
        <v>591</v>
      </c>
      <c r="K22" s="165" t="s">
        <v>592</v>
      </c>
      <c r="L22" s="165" t="s">
        <v>593</v>
      </c>
      <c r="M22" s="165" t="s">
        <v>594</v>
      </c>
      <c r="N22" s="165" t="s">
        <v>595</v>
      </c>
      <c r="O22" s="161"/>
      <c r="P22" s="386"/>
      <c r="Q22" s="161"/>
      <c r="R22" s="386"/>
      <c r="S22" s="161"/>
    </row>
    <row r="23" spans="1:19">
      <c r="A23" s="294"/>
      <c r="B23" s="162" t="s">
        <v>481</v>
      </c>
      <c r="C23" s="164" t="s">
        <v>583</v>
      </c>
      <c r="D23" s="164" t="s">
        <v>568</v>
      </c>
      <c r="E23" s="164" t="s">
        <v>553</v>
      </c>
      <c r="F23" s="164" t="s">
        <v>596</v>
      </c>
      <c r="G23" s="164" t="s">
        <v>595</v>
      </c>
      <c r="H23" s="160"/>
      <c r="I23" s="163" t="s">
        <v>481</v>
      </c>
      <c r="J23" s="165" t="s">
        <v>597</v>
      </c>
      <c r="K23" s="168">
        <v>45268</v>
      </c>
      <c r="L23" s="165" t="s">
        <v>598</v>
      </c>
      <c r="M23" s="165" t="s">
        <v>599</v>
      </c>
      <c r="N23" s="165" t="s">
        <v>600</v>
      </c>
      <c r="O23" s="161"/>
      <c r="P23" s="294"/>
      <c r="Q23" s="161"/>
      <c r="R23" s="294"/>
      <c r="S23" s="161"/>
    </row>
    <row r="24" spans="1:19">
      <c r="A24" s="294"/>
      <c r="B24" s="162" t="s">
        <v>490</v>
      </c>
      <c r="C24" s="164" t="s">
        <v>591</v>
      </c>
      <c r="D24" s="171">
        <v>45270</v>
      </c>
      <c r="E24" s="164" t="s">
        <v>601</v>
      </c>
      <c r="F24" s="164" t="s">
        <v>602</v>
      </c>
      <c r="G24" s="164" t="s">
        <v>560</v>
      </c>
      <c r="H24" s="160"/>
      <c r="I24" s="163" t="s">
        <v>490</v>
      </c>
      <c r="J24" s="165" t="s">
        <v>603</v>
      </c>
      <c r="K24" s="168">
        <v>45204</v>
      </c>
      <c r="L24" s="165" t="s">
        <v>604</v>
      </c>
      <c r="M24" s="165" t="s">
        <v>605</v>
      </c>
      <c r="N24" s="165" t="s">
        <v>606</v>
      </c>
      <c r="O24" s="161"/>
      <c r="P24" s="294"/>
      <c r="Q24" s="161"/>
      <c r="R24" s="294"/>
      <c r="S24" s="161"/>
    </row>
    <row r="25" spans="1:19">
      <c r="A25" s="294"/>
      <c r="B25" s="162" t="s">
        <v>499</v>
      </c>
      <c r="C25" s="164" t="s">
        <v>557</v>
      </c>
      <c r="D25" s="171">
        <v>45176</v>
      </c>
      <c r="E25" s="171">
        <v>45270</v>
      </c>
      <c r="F25" s="164" t="s">
        <v>607</v>
      </c>
      <c r="G25" s="164" t="s">
        <v>608</v>
      </c>
      <c r="H25" s="160"/>
      <c r="I25" s="163" t="s">
        <v>499</v>
      </c>
      <c r="J25" s="165" t="s">
        <v>571</v>
      </c>
      <c r="K25" s="168">
        <v>45079</v>
      </c>
      <c r="L25" s="168">
        <v>45206</v>
      </c>
      <c r="M25" s="165" t="s">
        <v>609</v>
      </c>
      <c r="N25" s="165" t="s">
        <v>608</v>
      </c>
      <c r="O25" s="161"/>
      <c r="P25" s="294"/>
      <c r="Q25" s="161"/>
      <c r="R25" s="294"/>
      <c r="S25" s="161"/>
    </row>
    <row r="26" spans="1:19">
      <c r="A26" s="294"/>
      <c r="B26" s="162" t="s">
        <v>508</v>
      </c>
      <c r="C26" s="164" t="s">
        <v>603</v>
      </c>
      <c r="D26" s="171">
        <v>45112</v>
      </c>
      <c r="E26" s="171">
        <v>45207</v>
      </c>
      <c r="F26" s="164" t="s">
        <v>610</v>
      </c>
      <c r="G26" s="164" t="s">
        <v>611</v>
      </c>
      <c r="H26" s="160"/>
      <c r="I26" s="163" t="s">
        <v>508</v>
      </c>
      <c r="J26" s="165" t="s">
        <v>571</v>
      </c>
      <c r="K26" s="168">
        <v>45018</v>
      </c>
      <c r="L26" s="168">
        <v>45235</v>
      </c>
      <c r="M26" s="165" t="s">
        <v>568</v>
      </c>
      <c r="N26" s="165" t="s">
        <v>612</v>
      </c>
      <c r="O26" s="161"/>
      <c r="P26" s="294"/>
      <c r="Q26" s="161"/>
      <c r="R26" s="294"/>
      <c r="S26" s="161"/>
    </row>
    <row r="27" spans="1:19">
      <c r="A27" s="170"/>
      <c r="B27" s="493" t="s">
        <v>574</v>
      </c>
      <c r="C27" s="294"/>
      <c r="D27" s="294"/>
      <c r="E27" s="294"/>
      <c r="F27" s="294"/>
      <c r="G27" s="294"/>
      <c r="H27" s="160"/>
      <c r="I27" s="493" t="s">
        <v>574</v>
      </c>
      <c r="J27" s="294"/>
      <c r="K27" s="294"/>
      <c r="L27" s="294"/>
      <c r="M27" s="294"/>
      <c r="N27" s="294"/>
      <c r="O27" s="161"/>
      <c r="P27" s="294"/>
      <c r="Q27" s="161"/>
      <c r="R27" s="294"/>
      <c r="S27" s="161"/>
    </row>
    <row r="28" spans="1:19">
      <c r="A28" s="41"/>
      <c r="B28" s="76"/>
      <c r="C28" s="41"/>
      <c r="D28" s="41"/>
      <c r="E28" s="41"/>
      <c r="F28" s="41"/>
      <c r="G28" s="41"/>
      <c r="H28" s="160"/>
      <c r="I28" s="76"/>
      <c r="J28" s="41"/>
      <c r="K28" s="41"/>
      <c r="L28" s="41"/>
      <c r="M28" s="41"/>
      <c r="N28" s="41"/>
      <c r="O28" s="161"/>
      <c r="P28" s="294"/>
      <c r="Q28" s="161"/>
      <c r="R28" s="294"/>
      <c r="S28" s="161"/>
    </row>
    <row r="29" spans="1:19">
      <c r="A29" s="489" t="s">
        <v>613</v>
      </c>
      <c r="B29" s="166"/>
      <c r="C29" s="166" t="s">
        <v>614</v>
      </c>
      <c r="D29" s="166" t="s">
        <v>615</v>
      </c>
      <c r="E29" s="166" t="s">
        <v>616</v>
      </c>
      <c r="F29" s="166" t="s">
        <v>522</v>
      </c>
      <c r="G29" s="166" t="s">
        <v>617</v>
      </c>
      <c r="H29" s="160"/>
      <c r="I29" s="167"/>
      <c r="J29" s="167" t="s">
        <v>614</v>
      </c>
      <c r="K29" s="167" t="s">
        <v>615</v>
      </c>
      <c r="L29" s="167" t="s">
        <v>616</v>
      </c>
      <c r="M29" s="167" t="s">
        <v>522</v>
      </c>
      <c r="N29" s="167" t="s">
        <v>617</v>
      </c>
      <c r="O29" s="161"/>
      <c r="Q29" s="161"/>
      <c r="S29" s="161"/>
    </row>
    <row r="30" spans="1:19">
      <c r="A30" s="294"/>
      <c r="B30" s="162" t="s">
        <v>618</v>
      </c>
      <c r="C30" s="164" t="s">
        <v>619</v>
      </c>
      <c r="D30" s="164" t="s">
        <v>620</v>
      </c>
      <c r="E30" s="164" t="s">
        <v>621</v>
      </c>
      <c r="F30" s="164" t="s">
        <v>622</v>
      </c>
      <c r="G30" s="164" t="s">
        <v>623</v>
      </c>
      <c r="H30" s="160"/>
      <c r="I30" s="163" t="s">
        <v>618</v>
      </c>
      <c r="J30" s="165" t="s">
        <v>624</v>
      </c>
      <c r="K30" s="165" t="s">
        <v>625</v>
      </c>
      <c r="L30" s="165" t="s">
        <v>626</v>
      </c>
      <c r="M30" s="165" t="s">
        <v>627</v>
      </c>
      <c r="N30" s="165" t="s">
        <v>628</v>
      </c>
      <c r="O30" s="161"/>
      <c r="P30" s="69" t="s">
        <v>73</v>
      </c>
      <c r="Q30" s="161"/>
      <c r="R30" s="69" t="s">
        <v>334</v>
      </c>
      <c r="S30" s="161"/>
    </row>
    <row r="31" spans="1:19">
      <c r="A31" s="294"/>
      <c r="B31" s="162" t="s">
        <v>472</v>
      </c>
      <c r="C31" s="164" t="s">
        <v>629</v>
      </c>
      <c r="D31" s="164" t="s">
        <v>630</v>
      </c>
      <c r="E31" s="164" t="s">
        <v>631</v>
      </c>
      <c r="F31" s="164" t="s">
        <v>632</v>
      </c>
      <c r="G31" s="164" t="s">
        <v>633</v>
      </c>
      <c r="H31" s="160"/>
      <c r="I31" s="163" t="s">
        <v>472</v>
      </c>
      <c r="J31" s="165" t="s">
        <v>634</v>
      </c>
      <c r="K31" s="165" t="s">
        <v>635</v>
      </c>
      <c r="L31" s="165" t="s">
        <v>636</v>
      </c>
      <c r="M31" s="165" t="s">
        <v>637</v>
      </c>
      <c r="N31" s="165" t="s">
        <v>638</v>
      </c>
      <c r="O31" s="161"/>
      <c r="P31" s="386"/>
      <c r="Q31" s="161"/>
      <c r="R31" s="386"/>
      <c r="S31" s="161"/>
    </row>
    <row r="32" spans="1:19">
      <c r="A32" s="294"/>
      <c r="B32" s="162" t="s">
        <v>481</v>
      </c>
      <c r="C32" s="164" t="s">
        <v>639</v>
      </c>
      <c r="D32" s="164" t="s">
        <v>640</v>
      </c>
      <c r="E32" s="164" t="s">
        <v>641</v>
      </c>
      <c r="F32" s="164" t="s">
        <v>642</v>
      </c>
      <c r="G32" s="164" t="s">
        <v>643</v>
      </c>
      <c r="H32" s="160"/>
      <c r="I32" s="163" t="s">
        <v>481</v>
      </c>
      <c r="J32" s="165" t="s">
        <v>644</v>
      </c>
      <c r="K32" s="165" t="s">
        <v>645</v>
      </c>
      <c r="L32" s="165" t="s">
        <v>646</v>
      </c>
      <c r="M32" s="165" t="s">
        <v>647</v>
      </c>
      <c r="N32" s="165" t="s">
        <v>648</v>
      </c>
      <c r="O32" s="161"/>
      <c r="P32" s="294"/>
      <c r="Q32" s="161"/>
      <c r="R32" s="294"/>
      <c r="S32" s="161"/>
    </row>
    <row r="33" spans="1:19">
      <c r="A33" s="294"/>
      <c r="B33" s="162" t="s">
        <v>490</v>
      </c>
      <c r="C33" s="164" t="s">
        <v>649</v>
      </c>
      <c r="D33" s="164" t="s">
        <v>650</v>
      </c>
      <c r="E33" s="164" t="s">
        <v>651</v>
      </c>
      <c r="F33" s="164" t="s">
        <v>630</v>
      </c>
      <c r="G33" s="164" t="s">
        <v>652</v>
      </c>
      <c r="H33" s="160"/>
      <c r="I33" s="163" t="s">
        <v>490</v>
      </c>
      <c r="J33" s="165" t="s">
        <v>653</v>
      </c>
      <c r="K33" s="165" t="s">
        <v>654</v>
      </c>
      <c r="L33" s="165" t="s">
        <v>655</v>
      </c>
      <c r="M33" s="165" t="s">
        <v>656</v>
      </c>
      <c r="N33" s="165" t="s">
        <v>657</v>
      </c>
      <c r="O33" s="161"/>
      <c r="P33" s="294"/>
      <c r="Q33" s="161"/>
      <c r="R33" s="294"/>
      <c r="S33" s="161"/>
    </row>
    <row r="34" spans="1:19">
      <c r="A34" s="294"/>
      <c r="B34" s="162" t="s">
        <v>499</v>
      </c>
      <c r="C34" s="164" t="s">
        <v>658</v>
      </c>
      <c r="D34" s="164" t="s">
        <v>659</v>
      </c>
      <c r="E34" s="164" t="s">
        <v>660</v>
      </c>
      <c r="F34" s="164" t="s">
        <v>661</v>
      </c>
      <c r="G34" s="164" t="s">
        <v>662</v>
      </c>
      <c r="H34" s="160"/>
      <c r="I34" s="163" t="s">
        <v>499</v>
      </c>
      <c r="J34" s="165" t="s">
        <v>663</v>
      </c>
      <c r="K34" s="165" t="s">
        <v>664</v>
      </c>
      <c r="L34" s="165" t="s">
        <v>665</v>
      </c>
      <c r="M34" s="165" t="s">
        <v>666</v>
      </c>
      <c r="N34" s="165" t="s">
        <v>667</v>
      </c>
      <c r="O34" s="161"/>
      <c r="P34" s="294"/>
      <c r="Q34" s="161"/>
      <c r="R34" s="294"/>
      <c r="S34" s="161"/>
    </row>
    <row r="35" spans="1:19">
      <c r="A35" s="294"/>
      <c r="B35" s="162" t="s">
        <v>508</v>
      </c>
      <c r="C35" s="164" t="s">
        <v>668</v>
      </c>
      <c r="D35" s="164" t="s">
        <v>669</v>
      </c>
      <c r="E35" s="164" t="s">
        <v>670</v>
      </c>
      <c r="F35" s="164" t="s">
        <v>671</v>
      </c>
      <c r="G35" s="164" t="s">
        <v>672</v>
      </c>
      <c r="H35" s="160"/>
      <c r="I35" s="163" t="s">
        <v>508</v>
      </c>
      <c r="J35" s="165" t="s">
        <v>673</v>
      </c>
      <c r="K35" s="165" t="s">
        <v>674</v>
      </c>
      <c r="L35" s="165" t="s">
        <v>675</v>
      </c>
      <c r="M35" s="165" t="s">
        <v>676</v>
      </c>
      <c r="N35" s="165" t="s">
        <v>677</v>
      </c>
      <c r="O35" s="161"/>
      <c r="P35" s="294"/>
      <c r="Q35" s="161"/>
      <c r="R35" s="294"/>
      <c r="S35" s="161"/>
    </row>
    <row r="36" spans="1:19">
      <c r="A36" s="170"/>
      <c r="B36" s="493" t="s">
        <v>678</v>
      </c>
      <c r="C36" s="294"/>
      <c r="D36" s="294"/>
      <c r="E36" s="294"/>
      <c r="F36" s="294"/>
      <c r="G36" s="294"/>
      <c r="H36" s="160"/>
      <c r="I36" s="493" t="s">
        <v>678</v>
      </c>
      <c r="J36" s="294"/>
      <c r="K36" s="294"/>
      <c r="L36" s="294"/>
      <c r="M36" s="294"/>
      <c r="N36" s="294"/>
      <c r="O36" s="161"/>
      <c r="P36" s="294"/>
      <c r="Q36" s="161"/>
      <c r="R36" s="294"/>
      <c r="S36" s="161"/>
    </row>
    <row r="37" spans="1:19">
      <c r="H37" s="160"/>
      <c r="O37" s="161"/>
      <c r="P37" s="294"/>
      <c r="Q37" s="161"/>
      <c r="R37" s="294"/>
      <c r="S37" s="161"/>
    </row>
    <row r="38" spans="1:19">
      <c r="A38" s="489" t="s">
        <v>679</v>
      </c>
      <c r="B38" s="166"/>
      <c r="C38" s="166" t="s">
        <v>614</v>
      </c>
      <c r="D38" s="166" t="s">
        <v>615</v>
      </c>
      <c r="E38" s="166" t="s">
        <v>616</v>
      </c>
      <c r="F38" s="166" t="s">
        <v>522</v>
      </c>
      <c r="G38" s="166" t="s">
        <v>617</v>
      </c>
      <c r="H38" s="160"/>
      <c r="I38" s="167"/>
      <c r="J38" s="167" t="s">
        <v>614</v>
      </c>
      <c r="K38" s="167" t="s">
        <v>615</v>
      </c>
      <c r="L38" s="167" t="s">
        <v>616</v>
      </c>
      <c r="M38" s="167" t="s">
        <v>522</v>
      </c>
      <c r="N38" s="167" t="s">
        <v>617</v>
      </c>
      <c r="O38" s="161"/>
      <c r="Q38" s="161"/>
      <c r="S38" s="161"/>
    </row>
    <row r="39" spans="1:19">
      <c r="A39" s="294"/>
      <c r="B39" s="162" t="s">
        <v>618</v>
      </c>
      <c r="C39" s="164" t="s">
        <v>680</v>
      </c>
      <c r="D39" s="164" t="s">
        <v>681</v>
      </c>
      <c r="E39" s="164" t="s">
        <v>682</v>
      </c>
      <c r="F39" s="164" t="s">
        <v>683</v>
      </c>
      <c r="G39" s="164" t="s">
        <v>684</v>
      </c>
      <c r="H39" s="160"/>
      <c r="I39" s="163" t="s">
        <v>618</v>
      </c>
      <c r="J39" s="165" t="s">
        <v>685</v>
      </c>
      <c r="K39" s="165" t="s">
        <v>686</v>
      </c>
      <c r="L39" s="165" t="s">
        <v>687</v>
      </c>
      <c r="M39" s="165" t="s">
        <v>688</v>
      </c>
      <c r="N39" s="165" t="s">
        <v>689</v>
      </c>
      <c r="O39" s="161"/>
      <c r="P39" s="69" t="s">
        <v>328</v>
      </c>
      <c r="Q39" s="161"/>
      <c r="R39" s="69" t="s">
        <v>335</v>
      </c>
      <c r="S39" s="161"/>
    </row>
    <row r="40" spans="1:19">
      <c r="A40" s="294"/>
      <c r="B40" s="162" t="s">
        <v>472</v>
      </c>
      <c r="C40" s="164" t="s">
        <v>690</v>
      </c>
      <c r="D40" s="164" t="s">
        <v>691</v>
      </c>
      <c r="E40" s="164" t="s">
        <v>692</v>
      </c>
      <c r="F40" s="164" t="s">
        <v>693</v>
      </c>
      <c r="G40" s="164" t="s">
        <v>694</v>
      </c>
      <c r="H40" s="160"/>
      <c r="I40" s="163" t="s">
        <v>472</v>
      </c>
      <c r="J40" s="165" t="s">
        <v>685</v>
      </c>
      <c r="K40" s="165" t="s">
        <v>695</v>
      </c>
      <c r="L40" s="165" t="s">
        <v>696</v>
      </c>
      <c r="M40" s="165" t="s">
        <v>697</v>
      </c>
      <c r="N40" s="165" t="s">
        <v>698</v>
      </c>
      <c r="O40" s="161"/>
      <c r="P40" s="386"/>
      <c r="Q40" s="161"/>
      <c r="R40" s="386"/>
      <c r="S40" s="161"/>
    </row>
    <row r="41" spans="1:19">
      <c r="A41" s="294"/>
      <c r="B41" s="162" t="s">
        <v>481</v>
      </c>
      <c r="C41" s="164" t="s">
        <v>699</v>
      </c>
      <c r="D41" s="164" t="s">
        <v>700</v>
      </c>
      <c r="E41" s="164" t="s">
        <v>701</v>
      </c>
      <c r="F41" s="164" t="s">
        <v>702</v>
      </c>
      <c r="G41" s="164" t="s">
        <v>703</v>
      </c>
      <c r="H41" s="160"/>
      <c r="I41" s="163" t="s">
        <v>481</v>
      </c>
      <c r="J41" s="165" t="s">
        <v>704</v>
      </c>
      <c r="K41" s="165" t="s">
        <v>705</v>
      </c>
      <c r="L41" s="165" t="s">
        <v>706</v>
      </c>
      <c r="M41" s="165" t="s">
        <v>707</v>
      </c>
      <c r="N41" s="165" t="s">
        <v>708</v>
      </c>
      <c r="O41" s="161"/>
      <c r="P41" s="294"/>
      <c r="Q41" s="161"/>
      <c r="R41" s="294"/>
      <c r="S41" s="161"/>
    </row>
    <row r="42" spans="1:19">
      <c r="A42" s="294"/>
      <c r="B42" s="162" t="s">
        <v>490</v>
      </c>
      <c r="C42" s="164" t="s">
        <v>709</v>
      </c>
      <c r="D42" s="164" t="s">
        <v>710</v>
      </c>
      <c r="E42" s="164" t="s">
        <v>711</v>
      </c>
      <c r="F42" s="164" t="s">
        <v>712</v>
      </c>
      <c r="G42" s="164" t="s">
        <v>713</v>
      </c>
      <c r="H42" s="160"/>
      <c r="I42" s="163" t="s">
        <v>490</v>
      </c>
      <c r="J42" s="165" t="s">
        <v>714</v>
      </c>
      <c r="K42" s="165" t="s">
        <v>715</v>
      </c>
      <c r="L42" s="165" t="s">
        <v>716</v>
      </c>
      <c r="M42" s="165" t="s">
        <v>717</v>
      </c>
      <c r="N42" s="165" t="s">
        <v>718</v>
      </c>
      <c r="O42" s="161"/>
      <c r="P42" s="294"/>
      <c r="Q42" s="161"/>
      <c r="R42" s="294"/>
      <c r="S42" s="161"/>
    </row>
    <row r="43" spans="1:19">
      <c r="A43" s="294"/>
      <c r="B43" s="162" t="s">
        <v>499</v>
      </c>
      <c r="C43" s="164" t="s">
        <v>719</v>
      </c>
      <c r="D43" s="164" t="s">
        <v>720</v>
      </c>
      <c r="E43" s="164" t="s">
        <v>721</v>
      </c>
      <c r="F43" s="164" t="s">
        <v>722</v>
      </c>
      <c r="G43" s="164" t="s">
        <v>689</v>
      </c>
      <c r="H43" s="160"/>
      <c r="I43" s="163" t="s">
        <v>499</v>
      </c>
      <c r="J43" s="165" t="s">
        <v>629</v>
      </c>
      <c r="K43" s="165" t="s">
        <v>630</v>
      </c>
      <c r="L43" s="165" t="s">
        <v>723</v>
      </c>
      <c r="M43" s="165" t="s">
        <v>724</v>
      </c>
      <c r="N43" s="165" t="s">
        <v>725</v>
      </c>
      <c r="O43" s="161"/>
      <c r="P43" s="294"/>
      <c r="Q43" s="161"/>
      <c r="R43" s="294"/>
      <c r="S43" s="161"/>
    </row>
    <row r="44" spans="1:19">
      <c r="A44" s="294"/>
      <c r="B44" s="162" t="s">
        <v>508</v>
      </c>
      <c r="C44" s="164" t="s">
        <v>726</v>
      </c>
      <c r="D44" s="164" t="s">
        <v>727</v>
      </c>
      <c r="E44" s="164" t="s">
        <v>728</v>
      </c>
      <c r="F44" s="164" t="s">
        <v>729</v>
      </c>
      <c r="G44" s="164" t="s">
        <v>730</v>
      </c>
      <c r="H44" s="160"/>
      <c r="I44" s="163" t="s">
        <v>508</v>
      </c>
      <c r="J44" s="165" t="s">
        <v>731</v>
      </c>
      <c r="K44" s="165" t="s">
        <v>732</v>
      </c>
      <c r="L44" s="165" t="s">
        <v>733</v>
      </c>
      <c r="M44" s="165" t="s">
        <v>734</v>
      </c>
      <c r="N44" s="165" t="s">
        <v>735</v>
      </c>
      <c r="O44" s="161"/>
      <c r="P44" s="294"/>
      <c r="Q44" s="161"/>
      <c r="R44" s="294"/>
      <c r="S44" s="161"/>
    </row>
    <row r="45" spans="1:19">
      <c r="A45" s="170"/>
      <c r="B45" s="493" t="s">
        <v>678</v>
      </c>
      <c r="C45" s="294"/>
      <c r="D45" s="294"/>
      <c r="E45" s="294"/>
      <c r="F45" s="294"/>
      <c r="G45" s="294"/>
      <c r="H45" s="160"/>
      <c r="I45" s="493" t="s">
        <v>678</v>
      </c>
      <c r="J45" s="294"/>
      <c r="K45" s="294"/>
      <c r="L45" s="294"/>
      <c r="M45" s="294"/>
      <c r="N45" s="294"/>
      <c r="O45" s="161"/>
      <c r="P45" s="294"/>
      <c r="Q45" s="161"/>
      <c r="R45" s="294"/>
      <c r="S45" s="161"/>
    </row>
    <row r="46" spans="1:19">
      <c r="H46" s="160"/>
      <c r="O46" s="161"/>
      <c r="P46" s="294"/>
      <c r="Q46" s="161"/>
      <c r="R46" s="294"/>
      <c r="S46" s="161"/>
    </row>
    <row r="47" spans="1:19">
      <c r="A47" s="489" t="s">
        <v>736</v>
      </c>
      <c r="B47" s="166" t="s">
        <v>737</v>
      </c>
      <c r="C47" s="166" t="s">
        <v>518</v>
      </c>
      <c r="D47" s="166" t="s">
        <v>519</v>
      </c>
      <c r="E47" s="166" t="s">
        <v>520</v>
      </c>
      <c r="F47" s="166" t="s">
        <v>521</v>
      </c>
      <c r="G47" s="166" t="s">
        <v>522</v>
      </c>
      <c r="H47" s="160"/>
      <c r="I47" s="167" t="s">
        <v>737</v>
      </c>
      <c r="J47" s="167" t="s">
        <v>518</v>
      </c>
      <c r="K47" s="167" t="s">
        <v>519</v>
      </c>
      <c r="L47" s="167" t="s">
        <v>520</v>
      </c>
      <c r="M47" s="167" t="s">
        <v>521</v>
      </c>
      <c r="N47" s="167" t="s">
        <v>522</v>
      </c>
      <c r="O47" s="161"/>
      <c r="P47" s="41"/>
      <c r="Q47" s="161"/>
      <c r="R47" s="41"/>
      <c r="S47" s="161"/>
    </row>
    <row r="48" spans="1:19">
      <c r="A48" s="294"/>
      <c r="B48" s="162" t="s">
        <v>523</v>
      </c>
      <c r="C48" s="164" t="s">
        <v>738</v>
      </c>
      <c r="D48" s="164" t="s">
        <v>550</v>
      </c>
      <c r="E48" s="164" t="s">
        <v>739</v>
      </c>
      <c r="F48" s="164" t="s">
        <v>740</v>
      </c>
      <c r="G48" s="164" t="s">
        <v>582</v>
      </c>
      <c r="H48" s="160"/>
      <c r="I48" s="163" t="s">
        <v>523</v>
      </c>
      <c r="J48" s="165" t="s">
        <v>534</v>
      </c>
      <c r="K48" s="165" t="s">
        <v>739</v>
      </c>
      <c r="L48" s="165" t="s">
        <v>741</v>
      </c>
      <c r="M48" s="165" t="s">
        <v>742</v>
      </c>
      <c r="N48" s="165" t="s">
        <v>538</v>
      </c>
      <c r="O48" s="161"/>
      <c r="P48" s="69" t="s">
        <v>743</v>
      </c>
      <c r="Q48" s="161"/>
      <c r="R48" s="69" t="s">
        <v>336</v>
      </c>
      <c r="S48" s="161"/>
    </row>
    <row r="49" spans="1:19">
      <c r="A49" s="294"/>
      <c r="B49" s="162" t="s">
        <v>472</v>
      </c>
      <c r="C49" s="164" t="s">
        <v>744</v>
      </c>
      <c r="D49" s="164" t="s">
        <v>745</v>
      </c>
      <c r="E49" s="164" t="s">
        <v>746</v>
      </c>
      <c r="F49" s="164" t="s">
        <v>747</v>
      </c>
      <c r="G49" s="164" t="s">
        <v>748</v>
      </c>
      <c r="H49" s="160"/>
      <c r="I49" s="163" t="s">
        <v>472</v>
      </c>
      <c r="J49" s="165" t="s">
        <v>749</v>
      </c>
      <c r="K49" s="165" t="s">
        <v>750</v>
      </c>
      <c r="L49" s="165" t="s">
        <v>536</v>
      </c>
      <c r="M49" s="165" t="s">
        <v>751</v>
      </c>
      <c r="N49" s="165" t="s">
        <v>752</v>
      </c>
      <c r="O49" s="161"/>
      <c r="P49" s="386"/>
      <c r="Q49" s="161"/>
      <c r="R49" s="386"/>
      <c r="S49" s="161"/>
    </row>
    <row r="50" spans="1:19">
      <c r="A50" s="294"/>
      <c r="B50" s="162" t="s">
        <v>481</v>
      </c>
      <c r="C50" s="164" t="s">
        <v>753</v>
      </c>
      <c r="D50" s="164" t="s">
        <v>754</v>
      </c>
      <c r="E50" s="164" t="s">
        <v>750</v>
      </c>
      <c r="F50" s="164" t="s">
        <v>525</v>
      </c>
      <c r="G50" s="164" t="s">
        <v>755</v>
      </c>
      <c r="H50" s="160"/>
      <c r="I50" s="163" t="s">
        <v>481</v>
      </c>
      <c r="J50" s="165" t="s">
        <v>529</v>
      </c>
      <c r="K50" s="165" t="s">
        <v>530</v>
      </c>
      <c r="L50" s="165" t="s">
        <v>531</v>
      </c>
      <c r="M50" s="165" t="s">
        <v>756</v>
      </c>
      <c r="N50" s="165" t="s">
        <v>752</v>
      </c>
      <c r="O50" s="161"/>
      <c r="P50" s="294"/>
      <c r="Q50" s="161"/>
      <c r="R50" s="294"/>
      <c r="S50" s="161"/>
    </row>
    <row r="51" spans="1:19">
      <c r="A51" s="294"/>
      <c r="B51" s="162" t="s">
        <v>490</v>
      </c>
      <c r="C51" s="164" t="s">
        <v>578</v>
      </c>
      <c r="D51" s="164" t="s">
        <v>757</v>
      </c>
      <c r="E51" s="164" t="s">
        <v>550</v>
      </c>
      <c r="F51" s="164" t="s">
        <v>758</v>
      </c>
      <c r="G51" s="164" t="s">
        <v>590</v>
      </c>
      <c r="H51" s="160"/>
      <c r="I51" s="163" t="s">
        <v>490</v>
      </c>
      <c r="J51" s="165" t="s">
        <v>744</v>
      </c>
      <c r="K51" s="165" t="s">
        <v>745</v>
      </c>
      <c r="L51" s="165" t="s">
        <v>746</v>
      </c>
      <c r="M51" s="165" t="s">
        <v>741</v>
      </c>
      <c r="N51" s="165" t="s">
        <v>755</v>
      </c>
      <c r="O51" s="161"/>
      <c r="P51" s="294"/>
      <c r="Q51" s="161"/>
      <c r="R51" s="294"/>
      <c r="S51" s="161"/>
    </row>
    <row r="52" spans="1:19">
      <c r="A52" s="294"/>
      <c r="B52" s="162" t="s">
        <v>499</v>
      </c>
      <c r="C52" s="164" t="s">
        <v>759</v>
      </c>
      <c r="D52" s="164" t="s">
        <v>760</v>
      </c>
      <c r="E52" s="164" t="s">
        <v>761</v>
      </c>
      <c r="F52" s="164" t="s">
        <v>762</v>
      </c>
      <c r="G52" s="164" t="s">
        <v>590</v>
      </c>
      <c r="H52" s="160"/>
      <c r="I52" s="163" t="s">
        <v>499</v>
      </c>
      <c r="J52" s="165" t="s">
        <v>744</v>
      </c>
      <c r="K52" s="165" t="s">
        <v>745</v>
      </c>
      <c r="L52" s="165" t="s">
        <v>763</v>
      </c>
      <c r="M52" s="165" t="s">
        <v>764</v>
      </c>
      <c r="N52" s="165" t="s">
        <v>582</v>
      </c>
      <c r="O52" s="161"/>
      <c r="P52" s="294"/>
      <c r="Q52" s="161"/>
      <c r="R52" s="294"/>
      <c r="S52" s="161"/>
    </row>
    <row r="53" spans="1:19">
      <c r="A53" s="294"/>
      <c r="B53" s="162" t="s">
        <v>508</v>
      </c>
      <c r="C53" s="164" t="s">
        <v>547</v>
      </c>
      <c r="D53" s="164" t="s">
        <v>548</v>
      </c>
      <c r="E53" s="164" t="s">
        <v>559</v>
      </c>
      <c r="F53" s="164" t="s">
        <v>586</v>
      </c>
      <c r="G53" s="164" t="s">
        <v>587</v>
      </c>
      <c r="H53" s="160"/>
      <c r="I53" s="163" t="s">
        <v>508</v>
      </c>
      <c r="J53" s="165" t="s">
        <v>753</v>
      </c>
      <c r="K53" s="165" t="s">
        <v>765</v>
      </c>
      <c r="L53" s="165" t="s">
        <v>546</v>
      </c>
      <c r="M53" s="165" t="s">
        <v>766</v>
      </c>
      <c r="N53" s="165" t="s">
        <v>590</v>
      </c>
      <c r="O53" s="161"/>
      <c r="P53" s="294"/>
      <c r="Q53" s="161"/>
      <c r="R53" s="294"/>
      <c r="S53" s="161"/>
    </row>
    <row r="54" spans="1:19">
      <c r="A54" s="170"/>
      <c r="B54" s="493" t="s">
        <v>767</v>
      </c>
      <c r="C54" s="294"/>
      <c r="D54" s="294"/>
      <c r="E54" s="294"/>
      <c r="F54" s="294"/>
      <c r="G54" s="294"/>
      <c r="H54" s="160"/>
      <c r="I54" s="493" t="s">
        <v>767</v>
      </c>
      <c r="J54" s="294"/>
      <c r="K54" s="294"/>
      <c r="L54" s="294"/>
      <c r="M54" s="294"/>
      <c r="N54" s="294"/>
      <c r="O54" s="161"/>
      <c r="P54" s="294"/>
      <c r="Q54" s="161"/>
      <c r="R54" s="294"/>
      <c r="S54" s="161"/>
    </row>
    <row r="55" spans="1:19">
      <c r="H55" s="160"/>
      <c r="O55" s="161"/>
      <c r="P55" s="294"/>
      <c r="Q55" s="161"/>
      <c r="R55" s="294"/>
      <c r="S55" s="161"/>
    </row>
    <row r="56" spans="1:19">
      <c r="A56" s="489" t="s">
        <v>768</v>
      </c>
      <c r="B56" s="166" t="s">
        <v>769</v>
      </c>
      <c r="C56" s="166" t="s">
        <v>770</v>
      </c>
      <c r="D56" s="162" t="s">
        <v>771</v>
      </c>
      <c r="E56" s="162" t="s">
        <v>772</v>
      </c>
      <c r="F56" s="162" t="s">
        <v>773</v>
      </c>
      <c r="G56" s="162" t="s">
        <v>774</v>
      </c>
      <c r="H56" s="160"/>
      <c r="I56" s="167" t="s">
        <v>769</v>
      </c>
      <c r="J56" s="167" t="s">
        <v>770</v>
      </c>
      <c r="K56" s="163" t="s">
        <v>771</v>
      </c>
      <c r="L56" s="163" t="s">
        <v>772</v>
      </c>
      <c r="M56" s="163" t="s">
        <v>773</v>
      </c>
      <c r="N56" s="163" t="s">
        <v>774</v>
      </c>
      <c r="O56" s="161"/>
      <c r="P56" s="41"/>
      <c r="Q56" s="161"/>
      <c r="R56" s="41"/>
      <c r="S56" s="161"/>
    </row>
    <row r="57" spans="1:19">
      <c r="A57" s="294"/>
      <c r="B57" s="162" t="s">
        <v>775</v>
      </c>
      <c r="C57" s="164" t="s">
        <v>776</v>
      </c>
      <c r="D57" s="164" t="s">
        <v>777</v>
      </c>
      <c r="E57" s="164" t="s">
        <v>778</v>
      </c>
      <c r="F57" s="164" t="s">
        <v>779</v>
      </c>
      <c r="G57" s="164" t="s">
        <v>780</v>
      </c>
      <c r="H57" s="160"/>
      <c r="I57" s="163" t="s">
        <v>775</v>
      </c>
      <c r="J57" s="165" t="s">
        <v>781</v>
      </c>
      <c r="K57" s="165" t="s">
        <v>782</v>
      </c>
      <c r="L57" s="165" t="s">
        <v>783</v>
      </c>
      <c r="M57" s="165" t="s">
        <v>784</v>
      </c>
      <c r="N57" s="165" t="s">
        <v>785</v>
      </c>
      <c r="O57" s="161"/>
      <c r="P57" s="69" t="s">
        <v>786</v>
      </c>
      <c r="Q57" s="161"/>
      <c r="R57" s="69" t="s">
        <v>337</v>
      </c>
      <c r="S57" s="161"/>
    </row>
    <row r="58" spans="1:19">
      <c r="A58" s="294"/>
      <c r="B58" s="162" t="s">
        <v>787</v>
      </c>
      <c r="C58" s="164" t="s">
        <v>788</v>
      </c>
      <c r="D58" s="164" t="s">
        <v>789</v>
      </c>
      <c r="E58" s="164" t="s">
        <v>790</v>
      </c>
      <c r="F58" s="164" t="s">
        <v>791</v>
      </c>
      <c r="G58" s="164" t="s">
        <v>792</v>
      </c>
      <c r="H58" s="160"/>
      <c r="I58" s="163" t="s">
        <v>787</v>
      </c>
      <c r="J58" s="165" t="s">
        <v>793</v>
      </c>
      <c r="K58" s="165" t="s">
        <v>794</v>
      </c>
      <c r="L58" s="165" t="s">
        <v>795</v>
      </c>
      <c r="M58" s="165" t="s">
        <v>796</v>
      </c>
      <c r="N58" s="165" t="s">
        <v>797</v>
      </c>
      <c r="O58" s="161"/>
      <c r="P58" s="386"/>
      <c r="Q58" s="161"/>
      <c r="R58" s="386"/>
      <c r="S58" s="161"/>
    </row>
    <row r="59" spans="1:19">
      <c r="A59" s="294"/>
      <c r="B59" s="162" t="s">
        <v>798</v>
      </c>
      <c r="C59" s="164" t="s">
        <v>799</v>
      </c>
      <c r="D59" s="164" t="s">
        <v>800</v>
      </c>
      <c r="E59" s="164" t="s">
        <v>801</v>
      </c>
      <c r="F59" s="164" t="s">
        <v>802</v>
      </c>
      <c r="G59" s="164" t="s">
        <v>803</v>
      </c>
      <c r="H59" s="160"/>
      <c r="I59" s="163" t="s">
        <v>798</v>
      </c>
      <c r="J59" s="165" t="s">
        <v>804</v>
      </c>
      <c r="K59" s="165" t="s">
        <v>805</v>
      </c>
      <c r="L59" s="165" t="s">
        <v>806</v>
      </c>
      <c r="M59" s="165" t="s">
        <v>807</v>
      </c>
      <c r="N59" s="165" t="s">
        <v>808</v>
      </c>
      <c r="O59" s="161"/>
      <c r="P59" s="294"/>
      <c r="Q59" s="161"/>
      <c r="R59" s="294"/>
      <c r="S59" s="161"/>
    </row>
    <row r="60" spans="1:19">
      <c r="A60" s="294"/>
      <c r="B60" s="162" t="s">
        <v>809</v>
      </c>
      <c r="C60" s="164" t="s">
        <v>810</v>
      </c>
      <c r="D60" s="164" t="s">
        <v>811</v>
      </c>
      <c r="E60" s="164" t="s">
        <v>812</v>
      </c>
      <c r="F60" s="164" t="s">
        <v>813</v>
      </c>
      <c r="G60" s="164" t="s">
        <v>814</v>
      </c>
      <c r="H60" s="160"/>
      <c r="I60" s="163" t="s">
        <v>809</v>
      </c>
      <c r="J60" s="165" t="s">
        <v>815</v>
      </c>
      <c r="K60" s="165" t="s">
        <v>816</v>
      </c>
      <c r="L60" s="165" t="s">
        <v>817</v>
      </c>
      <c r="M60" s="165" t="s">
        <v>818</v>
      </c>
      <c r="N60" s="165" t="s">
        <v>819</v>
      </c>
      <c r="O60" s="161"/>
      <c r="P60" s="294"/>
      <c r="Q60" s="161"/>
      <c r="R60" s="294"/>
      <c r="S60" s="161"/>
    </row>
    <row r="61" spans="1:19">
      <c r="A61" s="294"/>
      <c r="B61" s="162" t="s">
        <v>820</v>
      </c>
      <c r="C61" s="164" t="s">
        <v>821</v>
      </c>
      <c r="D61" s="164" t="s">
        <v>822</v>
      </c>
      <c r="E61" s="164" t="s">
        <v>823</v>
      </c>
      <c r="F61" s="164" t="s">
        <v>824</v>
      </c>
      <c r="G61" s="164" t="s">
        <v>825</v>
      </c>
      <c r="H61" s="160"/>
      <c r="I61" s="163" t="s">
        <v>820</v>
      </c>
      <c r="J61" s="165" t="s">
        <v>826</v>
      </c>
      <c r="K61" s="165" t="s">
        <v>827</v>
      </c>
      <c r="L61" s="165" t="s">
        <v>828</v>
      </c>
      <c r="M61" s="165" t="s">
        <v>829</v>
      </c>
      <c r="N61" s="165" t="s">
        <v>830</v>
      </c>
      <c r="O61" s="161"/>
      <c r="P61" s="294"/>
      <c r="Q61" s="161"/>
      <c r="R61" s="294"/>
      <c r="S61" s="161"/>
    </row>
    <row r="62" spans="1:19">
      <c r="A62" s="294"/>
      <c r="B62" s="162" t="s">
        <v>831</v>
      </c>
      <c r="C62" s="164" t="s">
        <v>832</v>
      </c>
      <c r="D62" s="164" t="s">
        <v>833</v>
      </c>
      <c r="E62" s="164" t="s">
        <v>834</v>
      </c>
      <c r="F62" s="164" t="s">
        <v>835</v>
      </c>
      <c r="G62" s="164" t="s">
        <v>836</v>
      </c>
      <c r="H62" s="160"/>
      <c r="I62" s="163" t="s">
        <v>831</v>
      </c>
      <c r="J62" s="165" t="s">
        <v>837</v>
      </c>
      <c r="K62" s="165" t="s">
        <v>838</v>
      </c>
      <c r="L62" s="165" t="s">
        <v>839</v>
      </c>
      <c r="M62" s="165" t="s">
        <v>840</v>
      </c>
      <c r="N62" s="165" t="s">
        <v>841</v>
      </c>
      <c r="O62" s="161"/>
      <c r="P62" s="294"/>
      <c r="Q62" s="161"/>
      <c r="R62" s="294"/>
      <c r="S62" s="161"/>
    </row>
    <row r="63" spans="1:19">
      <c r="B63" s="493" t="s">
        <v>842</v>
      </c>
      <c r="C63" s="294"/>
      <c r="D63" s="294"/>
      <c r="E63" s="294"/>
      <c r="F63" s="294"/>
      <c r="G63" s="294"/>
      <c r="H63" s="160"/>
      <c r="I63" s="493" t="s">
        <v>842</v>
      </c>
      <c r="J63" s="294"/>
      <c r="K63" s="294"/>
      <c r="L63" s="294"/>
      <c r="M63" s="294"/>
      <c r="N63" s="294"/>
      <c r="O63" s="161"/>
      <c r="P63" s="294"/>
      <c r="Q63" s="161"/>
      <c r="R63" s="294"/>
      <c r="S63" s="161"/>
    </row>
    <row r="64" spans="1:19">
      <c r="H64" s="160"/>
      <c r="O64" s="161"/>
      <c r="P64" s="294"/>
      <c r="Q64" s="161"/>
      <c r="R64" s="294"/>
      <c r="S64" s="161"/>
    </row>
    <row r="65" spans="1:19">
      <c r="A65" s="489" t="s">
        <v>843</v>
      </c>
      <c r="B65" s="166" t="s">
        <v>844</v>
      </c>
      <c r="C65" s="166" t="s">
        <v>845</v>
      </c>
      <c r="D65" s="166" t="s">
        <v>846</v>
      </c>
      <c r="E65" s="162" t="s">
        <v>847</v>
      </c>
      <c r="F65" s="166" t="s">
        <v>848</v>
      </c>
      <c r="G65" s="166" t="s">
        <v>849</v>
      </c>
      <c r="H65" s="160"/>
      <c r="I65" s="167" t="s">
        <v>844</v>
      </c>
      <c r="J65" s="167" t="s">
        <v>845</v>
      </c>
      <c r="K65" s="163" t="s">
        <v>846</v>
      </c>
      <c r="L65" s="163" t="s">
        <v>847</v>
      </c>
      <c r="M65" s="163" t="s">
        <v>848</v>
      </c>
      <c r="N65" s="163" t="s">
        <v>849</v>
      </c>
      <c r="O65" s="161"/>
      <c r="P65" s="41"/>
      <c r="Q65" s="161"/>
      <c r="R65" s="41"/>
      <c r="S65" s="161"/>
    </row>
    <row r="66" spans="1:19">
      <c r="A66" s="294"/>
      <c r="B66" s="162" t="s">
        <v>472</v>
      </c>
      <c r="C66" s="164" t="s">
        <v>850</v>
      </c>
      <c r="D66" s="164" t="s">
        <v>851</v>
      </c>
      <c r="E66" s="164" t="s">
        <v>852</v>
      </c>
      <c r="F66" s="164" t="s">
        <v>853</v>
      </c>
      <c r="G66" s="164" t="s">
        <v>854</v>
      </c>
      <c r="H66" s="160"/>
      <c r="I66" s="163" t="s">
        <v>472</v>
      </c>
      <c r="J66" s="165" t="s">
        <v>855</v>
      </c>
      <c r="K66" s="165" t="s">
        <v>856</v>
      </c>
      <c r="L66" s="165" t="s">
        <v>857</v>
      </c>
      <c r="M66" s="165" t="s">
        <v>858</v>
      </c>
      <c r="N66" s="165" t="s">
        <v>859</v>
      </c>
      <c r="O66" s="161"/>
      <c r="P66" s="41"/>
      <c r="Q66" s="161"/>
      <c r="R66" s="69" t="s">
        <v>328</v>
      </c>
      <c r="S66" s="161"/>
    </row>
    <row r="67" spans="1:19">
      <c r="A67" s="294"/>
      <c r="B67" s="162" t="s">
        <v>481</v>
      </c>
      <c r="C67" s="164" t="s">
        <v>860</v>
      </c>
      <c r="D67" s="164" t="s">
        <v>861</v>
      </c>
      <c r="E67" s="164" t="s">
        <v>862</v>
      </c>
      <c r="F67" s="164" t="s">
        <v>863</v>
      </c>
      <c r="G67" s="164" t="s">
        <v>864</v>
      </c>
      <c r="H67" s="160"/>
      <c r="I67" s="163" t="s">
        <v>481</v>
      </c>
      <c r="J67" s="165" t="s">
        <v>865</v>
      </c>
      <c r="K67" s="165" t="s">
        <v>866</v>
      </c>
      <c r="L67" s="165" t="s">
        <v>867</v>
      </c>
      <c r="M67" s="165" t="s">
        <v>868</v>
      </c>
      <c r="N67" s="165" t="s">
        <v>869</v>
      </c>
      <c r="O67" s="161"/>
      <c r="P67" s="41"/>
      <c r="Q67" s="161"/>
      <c r="R67" s="386"/>
      <c r="S67" s="161"/>
    </row>
    <row r="68" spans="1:19">
      <c r="A68" s="294"/>
      <c r="B68" s="162" t="s">
        <v>490</v>
      </c>
      <c r="C68" s="164" t="s">
        <v>870</v>
      </c>
      <c r="D68" s="164" t="s">
        <v>871</v>
      </c>
      <c r="E68" s="164" t="s">
        <v>872</v>
      </c>
      <c r="F68" s="164" t="s">
        <v>873</v>
      </c>
      <c r="G68" s="164" t="s">
        <v>874</v>
      </c>
      <c r="H68" s="160"/>
      <c r="I68" s="163" t="s">
        <v>490</v>
      </c>
      <c r="J68" s="165" t="s">
        <v>875</v>
      </c>
      <c r="K68" s="165" t="s">
        <v>876</v>
      </c>
      <c r="L68" s="165" t="s">
        <v>877</v>
      </c>
      <c r="M68" s="165" t="s">
        <v>878</v>
      </c>
      <c r="N68" s="165" t="s">
        <v>879</v>
      </c>
      <c r="O68" s="161"/>
      <c r="P68" s="41"/>
      <c r="Q68" s="161"/>
      <c r="R68" s="294"/>
      <c r="S68" s="161"/>
    </row>
    <row r="69" spans="1:19">
      <c r="A69" s="294"/>
      <c r="B69" s="162" t="s">
        <v>499</v>
      </c>
      <c r="C69" s="164" t="s">
        <v>880</v>
      </c>
      <c r="D69" s="164" t="s">
        <v>881</v>
      </c>
      <c r="E69" s="164" t="s">
        <v>882</v>
      </c>
      <c r="F69" s="164" t="s">
        <v>883</v>
      </c>
      <c r="G69" s="164" t="s">
        <v>884</v>
      </c>
      <c r="H69" s="160"/>
      <c r="I69" s="163" t="s">
        <v>499</v>
      </c>
      <c r="J69" s="165" t="s">
        <v>885</v>
      </c>
      <c r="K69" s="165" t="s">
        <v>886</v>
      </c>
      <c r="L69" s="165" t="s">
        <v>887</v>
      </c>
      <c r="M69" s="165" t="s">
        <v>888</v>
      </c>
      <c r="N69" s="165" t="s">
        <v>889</v>
      </c>
      <c r="O69" s="161"/>
      <c r="P69" s="41"/>
      <c r="Q69" s="161"/>
      <c r="R69" s="294"/>
      <c r="S69" s="161"/>
    </row>
    <row r="70" spans="1:19">
      <c r="A70" s="294"/>
      <c r="B70" s="162" t="s">
        <v>890</v>
      </c>
      <c r="C70" s="164" t="s">
        <v>891</v>
      </c>
      <c r="D70" s="164" t="s">
        <v>892</v>
      </c>
      <c r="E70" s="164" t="s">
        <v>893</v>
      </c>
      <c r="F70" s="164" t="s">
        <v>894</v>
      </c>
      <c r="G70" s="164" t="s">
        <v>895</v>
      </c>
      <c r="H70" s="160"/>
      <c r="I70" s="163" t="s">
        <v>890</v>
      </c>
      <c r="J70" s="165" t="s">
        <v>896</v>
      </c>
      <c r="K70" s="165" t="s">
        <v>897</v>
      </c>
      <c r="L70" s="165" t="s">
        <v>898</v>
      </c>
      <c r="M70" s="165" t="s">
        <v>899</v>
      </c>
      <c r="N70" s="165" t="s">
        <v>900</v>
      </c>
      <c r="O70" s="161"/>
      <c r="P70" s="41"/>
      <c r="Q70" s="161"/>
      <c r="R70" s="294"/>
      <c r="S70" s="161"/>
    </row>
    <row r="71" spans="1:19">
      <c r="A71" s="294"/>
      <c r="B71" s="162" t="s">
        <v>901</v>
      </c>
      <c r="C71" s="164" t="s">
        <v>902</v>
      </c>
      <c r="D71" s="164" t="s">
        <v>903</v>
      </c>
      <c r="E71" s="164" t="s">
        <v>904</v>
      </c>
      <c r="F71" s="164" t="s">
        <v>905</v>
      </c>
      <c r="G71" s="164" t="s">
        <v>906</v>
      </c>
      <c r="H71" s="160"/>
      <c r="I71" s="163" t="s">
        <v>901</v>
      </c>
      <c r="J71" s="165" t="s">
        <v>907</v>
      </c>
      <c r="K71" s="165" t="s">
        <v>908</v>
      </c>
      <c r="L71" s="165" t="s">
        <v>909</v>
      </c>
      <c r="M71" s="165" t="s">
        <v>910</v>
      </c>
      <c r="N71" s="165" t="s">
        <v>911</v>
      </c>
      <c r="O71" s="161"/>
      <c r="P71" s="41"/>
      <c r="Q71" s="161"/>
      <c r="R71" s="294"/>
      <c r="S71" s="161"/>
    </row>
    <row r="72" spans="1:19">
      <c r="B72" s="493" t="s">
        <v>912</v>
      </c>
      <c r="C72" s="294"/>
      <c r="D72" s="294"/>
      <c r="E72" s="294"/>
      <c r="F72" s="294"/>
      <c r="G72" s="294"/>
      <c r="H72" s="160"/>
      <c r="I72" s="493" t="s">
        <v>912</v>
      </c>
      <c r="J72" s="294"/>
      <c r="K72" s="294"/>
      <c r="L72" s="294"/>
      <c r="M72" s="294"/>
      <c r="N72" s="294"/>
      <c r="O72" s="161"/>
      <c r="P72" s="41"/>
      <c r="Q72" s="161"/>
      <c r="R72" s="294"/>
      <c r="S72" s="161"/>
    </row>
    <row r="73" spans="1:19">
      <c r="H73" s="160"/>
      <c r="O73" s="161"/>
      <c r="P73" s="41"/>
      <c r="Q73" s="161"/>
      <c r="R73" s="294"/>
      <c r="S73" s="161"/>
    </row>
  </sheetData>
  <mergeCells count="42">
    <mergeCell ref="P22:P28"/>
    <mergeCell ref="R22:R28"/>
    <mergeCell ref="P31:P37"/>
    <mergeCell ref="R31:R37"/>
    <mergeCell ref="R40:R46"/>
    <mergeCell ref="R49:R55"/>
    <mergeCell ref="R58:R64"/>
    <mergeCell ref="R67:R73"/>
    <mergeCell ref="R4:R10"/>
    <mergeCell ref="R13:R19"/>
    <mergeCell ref="B72:G72"/>
    <mergeCell ref="I72:N72"/>
    <mergeCell ref="B18:G18"/>
    <mergeCell ref="I18:N18"/>
    <mergeCell ref="B27:G27"/>
    <mergeCell ref="I27:N27"/>
    <mergeCell ref="B36:G36"/>
    <mergeCell ref="I36:N36"/>
    <mergeCell ref="I45:N45"/>
    <mergeCell ref="P40:P46"/>
    <mergeCell ref="P49:P55"/>
    <mergeCell ref="P58:P64"/>
    <mergeCell ref="B45:G45"/>
    <mergeCell ref="B54:G54"/>
    <mergeCell ref="I54:N54"/>
    <mergeCell ref="B63:G63"/>
    <mergeCell ref="I63:N63"/>
    <mergeCell ref="P1:R1"/>
    <mergeCell ref="P4:P10"/>
    <mergeCell ref="B9:G9"/>
    <mergeCell ref="I9:N9"/>
    <mergeCell ref="P13:P19"/>
    <mergeCell ref="A47:A53"/>
    <mergeCell ref="A56:A62"/>
    <mergeCell ref="A65:A71"/>
    <mergeCell ref="B1:G1"/>
    <mergeCell ref="I1:N1"/>
    <mergeCell ref="A3:A8"/>
    <mergeCell ref="A11:A17"/>
    <mergeCell ref="A20:A26"/>
    <mergeCell ref="A29:A35"/>
    <mergeCell ref="A38:A44"/>
  </mergeCells>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F4B3-1685-44E1-9DB1-0A0101C735F2}">
  <dimension ref="A1:H75"/>
  <sheetViews>
    <sheetView topLeftCell="A58" zoomScale="145" zoomScaleNormal="145" workbookViewId="0">
      <selection activeCell="B68" sqref="B68:C75"/>
    </sheetView>
  </sheetViews>
  <sheetFormatPr defaultRowHeight="12.75"/>
  <cols>
    <col min="1" max="1" width="32.28515625" bestFit="1" customWidth="1"/>
    <col min="2" max="2" width="29.7109375" bestFit="1" customWidth="1"/>
    <col min="3" max="3" width="40.5703125" bestFit="1" customWidth="1"/>
    <col min="4" max="5" width="9.42578125" bestFit="1" customWidth="1"/>
    <col min="6" max="6" width="9.85546875" bestFit="1" customWidth="1"/>
    <col min="7" max="7" width="10.140625" customWidth="1"/>
    <col min="8" max="8" width="20.42578125" customWidth="1"/>
  </cols>
  <sheetData>
    <row r="1" spans="1:8">
      <c r="A1" s="504" t="s">
        <v>1038</v>
      </c>
      <c r="B1" s="504" t="s">
        <v>1039</v>
      </c>
      <c r="C1" s="504" t="s">
        <v>28</v>
      </c>
      <c r="D1" s="504" t="s">
        <v>1041</v>
      </c>
      <c r="E1" s="504" t="s">
        <v>1042</v>
      </c>
      <c r="F1" s="504" t="s">
        <v>1043</v>
      </c>
      <c r="G1" s="504" t="s">
        <v>1044</v>
      </c>
      <c r="H1" s="504" t="s">
        <v>1040</v>
      </c>
    </row>
    <row r="2" spans="1:8">
      <c r="A2" s="505" t="s">
        <v>467</v>
      </c>
      <c r="B2" s="505" t="s">
        <v>468</v>
      </c>
      <c r="C2" s="505" t="s">
        <v>29</v>
      </c>
      <c r="D2" s="505">
        <v>20</v>
      </c>
      <c r="E2" s="505">
        <v>29</v>
      </c>
      <c r="F2" s="507"/>
      <c r="G2" s="507">
        <v>0.82</v>
      </c>
      <c r="H2" s="505" t="s">
        <v>469</v>
      </c>
    </row>
    <row r="3" spans="1:8">
      <c r="A3" s="505" t="s">
        <v>467</v>
      </c>
      <c r="B3" s="505" t="s">
        <v>468</v>
      </c>
      <c r="C3" s="505" t="s">
        <v>29</v>
      </c>
      <c r="D3" s="505">
        <v>20</v>
      </c>
      <c r="E3" s="505">
        <v>29</v>
      </c>
      <c r="F3" s="507">
        <v>0.83</v>
      </c>
      <c r="G3" s="507">
        <v>0.88</v>
      </c>
      <c r="H3" s="505" t="s">
        <v>435</v>
      </c>
    </row>
    <row r="4" spans="1:8">
      <c r="A4" s="505" t="s">
        <v>467</v>
      </c>
      <c r="B4" s="505" t="s">
        <v>468</v>
      </c>
      <c r="C4" s="505" t="s">
        <v>29</v>
      </c>
      <c r="D4" s="505">
        <v>20</v>
      </c>
      <c r="E4" s="505">
        <v>29</v>
      </c>
      <c r="F4" s="507">
        <v>0.89</v>
      </c>
      <c r="G4" s="507">
        <v>0.94</v>
      </c>
      <c r="H4" s="505" t="s">
        <v>470</v>
      </c>
    </row>
    <row r="5" spans="1:8">
      <c r="A5" s="505" t="s">
        <v>467</v>
      </c>
      <c r="B5" s="505" t="s">
        <v>468</v>
      </c>
      <c r="C5" s="505" t="s">
        <v>29</v>
      </c>
      <c r="D5" s="505">
        <v>20</v>
      </c>
      <c r="E5" s="505">
        <v>29</v>
      </c>
      <c r="F5" s="507">
        <v>0.94</v>
      </c>
      <c r="G5" s="507"/>
      <c r="H5" s="505" t="s">
        <v>471</v>
      </c>
    </row>
    <row r="6" spans="1:8">
      <c r="A6" s="506" t="s">
        <v>467</v>
      </c>
      <c r="B6" s="506" t="s">
        <v>468</v>
      </c>
      <c r="C6" s="506" t="s">
        <v>1045</v>
      </c>
      <c r="D6" s="506">
        <v>20</v>
      </c>
      <c r="E6" s="506">
        <v>29</v>
      </c>
      <c r="F6" s="508"/>
      <c r="G6" s="508">
        <v>0.7</v>
      </c>
      <c r="H6" s="506" t="s">
        <v>469</v>
      </c>
    </row>
    <row r="7" spans="1:8">
      <c r="A7" s="506" t="s">
        <v>467</v>
      </c>
      <c r="B7" s="506" t="s">
        <v>468</v>
      </c>
      <c r="C7" s="506" t="s">
        <v>1045</v>
      </c>
      <c r="D7" s="506">
        <v>20</v>
      </c>
      <c r="E7" s="506">
        <v>29</v>
      </c>
      <c r="F7" s="508">
        <v>0.71</v>
      </c>
      <c r="G7" s="508">
        <v>0.77</v>
      </c>
      <c r="H7" s="506" t="s">
        <v>435</v>
      </c>
    </row>
    <row r="8" spans="1:8">
      <c r="A8" s="506" t="s">
        <v>467</v>
      </c>
      <c r="B8" s="506" t="s">
        <v>468</v>
      </c>
      <c r="C8" s="506" t="s">
        <v>1045</v>
      </c>
      <c r="D8" s="506">
        <v>20</v>
      </c>
      <c r="E8" s="506">
        <v>29</v>
      </c>
      <c r="F8" s="508">
        <v>0.78</v>
      </c>
      <c r="G8" s="508">
        <v>8.3000000000000004E-2</v>
      </c>
      <c r="H8" s="506" t="s">
        <v>470</v>
      </c>
    </row>
    <row r="9" spans="1:8">
      <c r="A9" s="506" t="s">
        <v>467</v>
      </c>
      <c r="B9" s="506" t="s">
        <v>468</v>
      </c>
      <c r="C9" s="506" t="s">
        <v>1045</v>
      </c>
      <c r="D9" s="506">
        <v>20</v>
      </c>
      <c r="E9" s="506">
        <v>29</v>
      </c>
      <c r="F9" s="508">
        <v>8.4000000000000005E-2</v>
      </c>
      <c r="G9" s="508"/>
      <c r="H9" s="506" t="s">
        <v>471</v>
      </c>
    </row>
    <row r="11" spans="1:8">
      <c r="A11" t="s">
        <v>517</v>
      </c>
    </row>
    <row r="20" spans="1:1">
      <c r="A20" t="s">
        <v>575</v>
      </c>
    </row>
    <row r="29" spans="1:1">
      <c r="A29" t="s">
        <v>613</v>
      </c>
    </row>
    <row r="38" spans="1:1">
      <c r="A38" t="s">
        <v>679</v>
      </c>
    </row>
    <row r="47" spans="1:1">
      <c r="A47" t="s">
        <v>736</v>
      </c>
    </row>
    <row r="56" spans="1:1">
      <c r="A56" t="s">
        <v>768</v>
      </c>
    </row>
    <row r="65" spans="1:3">
      <c r="A65" t="s">
        <v>843</v>
      </c>
    </row>
    <row r="68" spans="1:3">
      <c r="A68" s="506" t="s">
        <v>467</v>
      </c>
      <c r="B68" s="510" t="s">
        <v>467</v>
      </c>
      <c r="C68" t="str">
        <f>'Tabela de Referencia'!B9</f>
        <v>Applied Body Composition Assessment, 1996.</v>
      </c>
    </row>
    <row r="69" spans="1:3">
      <c r="A69" t="s">
        <v>517</v>
      </c>
      <c r="B69" s="510" t="s">
        <v>173</v>
      </c>
      <c r="C69" t="str">
        <f>'Tabela de Referencia'!B18</f>
        <v>Pollock, M. L. &amp; Wilmore, J. H., 1993</v>
      </c>
    </row>
    <row r="70" spans="1:3">
      <c r="A70" t="s">
        <v>575</v>
      </c>
      <c r="B70" s="510" t="s">
        <v>1046</v>
      </c>
      <c r="C70" t="str">
        <f>'Tabela de Referencia'!B27</f>
        <v>Pollock, M. L. &amp; Wilmore, J. H., 1993</v>
      </c>
    </row>
    <row r="71" spans="1:3">
      <c r="A71" t="s">
        <v>613</v>
      </c>
      <c r="B71" s="510" t="s">
        <v>613</v>
      </c>
      <c r="C71" t="str">
        <f>'Tabela de Referencia'!B36</f>
        <v>Adaptado de Heyward, 1991</v>
      </c>
    </row>
    <row r="72" spans="1:3">
      <c r="A72" t="s">
        <v>679</v>
      </c>
      <c r="B72" s="510" t="s">
        <v>679</v>
      </c>
      <c r="C72" t="str">
        <f>'Tabela de Referencia'!B45</f>
        <v>Adaptado de Heyward, 1991</v>
      </c>
    </row>
    <row r="73" spans="1:3">
      <c r="A73" t="s">
        <v>736</v>
      </c>
      <c r="B73" s="510" t="s">
        <v>174</v>
      </c>
      <c r="C73" t="str">
        <f>'Tabela de Referencia'!B54</f>
        <v>Canadian Standardized Teste of Fitness (CSTF)</v>
      </c>
    </row>
    <row r="74" spans="1:3">
      <c r="A74" t="s">
        <v>768</v>
      </c>
      <c r="B74" s="510" t="s">
        <v>1047</v>
      </c>
      <c r="C74" t="str">
        <f>'Tabela de Referencia'!B63</f>
        <v>Herdy, A. H. &amp; Caixeta, A., 2016</v>
      </c>
    </row>
    <row r="75" spans="1:3">
      <c r="A75" t="s">
        <v>843</v>
      </c>
      <c r="B75" s="510" t="s">
        <v>1048</v>
      </c>
      <c r="C75" t="str">
        <f>'Tabela de Referencia'!B72</f>
        <v>Cooper Institute, 2009</v>
      </c>
    </row>
  </sheetData>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23"/>
  <sheetViews>
    <sheetView workbookViewId="0"/>
  </sheetViews>
  <sheetFormatPr defaultColWidth="12.5703125" defaultRowHeight="15.75" customHeight="1"/>
  <cols>
    <col min="3" max="3" width="38" customWidth="1"/>
    <col min="14" max="14" width="3.42578125" hidden="1" customWidth="1"/>
    <col min="15" max="15" width="5.42578125" hidden="1" customWidth="1"/>
    <col min="16" max="16" width="2.85546875" hidden="1" customWidth="1"/>
  </cols>
  <sheetData>
    <row r="1" spans="1:16">
      <c r="A1" s="12" t="s">
        <v>913</v>
      </c>
      <c r="B1" s="494" t="e">
        <f>CONCATENATE(N2:N23)</f>
        <v>#VALUE!</v>
      </c>
      <c r="C1" s="294"/>
      <c r="D1" s="34" t="s">
        <v>914</v>
      </c>
    </row>
    <row r="2" spans="1:16">
      <c r="A2" s="12">
        <v>1</v>
      </c>
      <c r="B2" s="12" t="s">
        <v>915</v>
      </c>
      <c r="C2" s="34" t="s">
        <v>916</v>
      </c>
      <c r="N2" s="34">
        <v>1</v>
      </c>
      <c r="O2" s="34" t="b">
        <f t="shared" ref="O2:O4" si="0">TRUE()</f>
        <v>1</v>
      </c>
      <c r="P2" s="34">
        <v>1</v>
      </c>
    </row>
    <row r="3" spans="1:16">
      <c r="A3" s="12">
        <v>2</v>
      </c>
      <c r="B3" s="172" t="s">
        <v>915</v>
      </c>
      <c r="C3" s="34" t="s">
        <v>917</v>
      </c>
      <c r="O3" s="34" t="b">
        <f t="shared" si="0"/>
        <v>1</v>
      </c>
      <c r="P3" s="34">
        <v>2</v>
      </c>
    </row>
    <row r="4" spans="1:16">
      <c r="A4" s="12">
        <v>3</v>
      </c>
      <c r="B4" s="172" t="s">
        <v>915</v>
      </c>
      <c r="C4" s="34" t="s">
        <v>918</v>
      </c>
      <c r="O4" s="34" t="b">
        <f t="shared" si="0"/>
        <v>1</v>
      </c>
      <c r="P4" s="34">
        <v>3</v>
      </c>
    </row>
    <row r="5" spans="1:16">
      <c r="A5" s="12">
        <v>4</v>
      </c>
      <c r="B5" s="34" t="b">
        <v>1</v>
      </c>
      <c r="C5" s="34" t="s">
        <v>919</v>
      </c>
      <c r="N5" s="34" t="str">
        <f>IF(O5,"","-3")</f>
        <v/>
      </c>
      <c r="O5" s="34" t="b">
        <f t="shared" ref="O5:O8" si="1">B5</f>
        <v>1</v>
      </c>
      <c r="P5" s="34">
        <v>4</v>
      </c>
    </row>
    <row r="6" spans="1:16">
      <c r="A6" s="12">
        <v>5</v>
      </c>
      <c r="B6" s="34" t="b">
        <v>1</v>
      </c>
      <c r="C6" s="34" t="s">
        <v>920</v>
      </c>
      <c r="N6" s="34" t="str">
        <f t="shared" ref="N6:N23" si="2">IF(O6,IF(O5,"",","&amp;P6),IF(AND(O4,O5),"-"&amp;P5,""))</f>
        <v/>
      </c>
      <c r="O6" s="34" t="b">
        <f t="shared" si="1"/>
        <v>1</v>
      </c>
      <c r="P6" s="34">
        <v>5</v>
      </c>
    </row>
    <row r="7" spans="1:16">
      <c r="A7" s="12">
        <v>6</v>
      </c>
      <c r="B7" s="34" t="b">
        <v>1</v>
      </c>
      <c r="C7" s="34" t="s">
        <v>921</v>
      </c>
      <c r="N7" s="34" t="str">
        <f t="shared" si="2"/>
        <v/>
      </c>
      <c r="O7" s="34" t="b">
        <f t="shared" si="1"/>
        <v>1</v>
      </c>
      <c r="P7" s="34">
        <v>6</v>
      </c>
    </row>
    <row r="8" spans="1:16">
      <c r="A8" s="173" t="s">
        <v>922</v>
      </c>
      <c r="B8" s="34" t="b">
        <v>1</v>
      </c>
      <c r="C8" s="34" t="s">
        <v>99</v>
      </c>
      <c r="N8" s="34" t="str">
        <f t="shared" si="2"/>
        <v/>
      </c>
      <c r="O8" s="34" t="b">
        <f t="shared" si="1"/>
        <v>1</v>
      </c>
      <c r="P8" s="34">
        <v>7</v>
      </c>
    </row>
    <row r="9" spans="1:16">
      <c r="A9" s="12">
        <v>9</v>
      </c>
      <c r="B9" s="34" t="b">
        <v>1</v>
      </c>
      <c r="C9" s="34" t="s">
        <v>923</v>
      </c>
      <c r="N9" s="34" t="str">
        <f t="shared" si="2"/>
        <v/>
      </c>
      <c r="O9" s="34" t="b">
        <f t="shared" ref="O9:O14" si="3">B8</f>
        <v>1</v>
      </c>
      <c r="P9" s="34">
        <v>8</v>
      </c>
    </row>
    <row r="10" spans="1:16">
      <c r="A10" s="12">
        <v>10</v>
      </c>
      <c r="B10" s="34" t="b">
        <v>1</v>
      </c>
      <c r="C10" s="34" t="s">
        <v>924</v>
      </c>
      <c r="N10" s="34" t="str">
        <f t="shared" si="2"/>
        <v/>
      </c>
      <c r="O10" s="34" t="b">
        <f t="shared" si="3"/>
        <v>1</v>
      </c>
      <c r="P10" s="34">
        <v>9</v>
      </c>
    </row>
    <row r="11" spans="1:16">
      <c r="A11" s="12">
        <v>11</v>
      </c>
      <c r="B11" s="34" t="b">
        <v>1</v>
      </c>
      <c r="C11" s="34" t="s">
        <v>925</v>
      </c>
      <c r="N11" s="34" t="str">
        <f t="shared" si="2"/>
        <v/>
      </c>
      <c r="O11" s="34" t="b">
        <f t="shared" si="3"/>
        <v>1</v>
      </c>
      <c r="P11" s="34">
        <v>10</v>
      </c>
    </row>
    <row r="12" spans="1:16">
      <c r="A12" s="12">
        <v>12</v>
      </c>
      <c r="B12" s="34" t="b">
        <v>0</v>
      </c>
      <c r="C12" s="34" t="s">
        <v>926</v>
      </c>
      <c r="N12" s="34" t="str">
        <f t="shared" si="2"/>
        <v/>
      </c>
      <c r="O12" s="34" t="b">
        <f t="shared" si="3"/>
        <v>1</v>
      </c>
      <c r="P12" s="34">
        <v>11</v>
      </c>
    </row>
    <row r="13" spans="1:16">
      <c r="A13" s="12" t="s">
        <v>927</v>
      </c>
      <c r="B13" s="34" t="b">
        <v>1</v>
      </c>
      <c r="C13" s="34" t="s">
        <v>928</v>
      </c>
      <c r="N13" s="34" t="str">
        <f t="shared" si="2"/>
        <v>-11</v>
      </c>
      <c r="O13" s="34" t="b">
        <f t="shared" si="3"/>
        <v>0</v>
      </c>
      <c r="P13" s="34">
        <v>12</v>
      </c>
    </row>
    <row r="14" spans="1:16">
      <c r="A14" s="12">
        <v>15</v>
      </c>
      <c r="B14" s="34" t="b">
        <v>1</v>
      </c>
      <c r="C14" s="34" t="s">
        <v>929</v>
      </c>
      <c r="N14" s="34" t="str">
        <f t="shared" si="2"/>
        <v>,13</v>
      </c>
      <c r="O14" s="34" t="b">
        <f t="shared" si="3"/>
        <v>1</v>
      </c>
      <c r="P14" s="34">
        <v>13</v>
      </c>
    </row>
    <row r="15" spans="1:16">
      <c r="A15" s="12">
        <v>16</v>
      </c>
      <c r="B15" s="34" t="b">
        <v>1</v>
      </c>
      <c r="C15" s="34" t="s">
        <v>930</v>
      </c>
      <c r="N15" s="34" t="str">
        <f t="shared" si="2"/>
        <v/>
      </c>
      <c r="O15" s="34" t="b">
        <f t="shared" ref="O15:O21" si="4">B13</f>
        <v>1</v>
      </c>
      <c r="P15" s="34">
        <v>14</v>
      </c>
    </row>
    <row r="16" spans="1:16">
      <c r="A16" s="12">
        <v>17</v>
      </c>
      <c r="B16" s="34" t="b">
        <v>1</v>
      </c>
      <c r="C16" s="34" t="s">
        <v>931</v>
      </c>
      <c r="N16" s="34" t="str">
        <f t="shared" si="2"/>
        <v/>
      </c>
      <c r="O16" s="34" t="b">
        <f t="shared" si="4"/>
        <v>1</v>
      </c>
      <c r="P16" s="34">
        <v>15</v>
      </c>
    </row>
    <row r="17" spans="1:16">
      <c r="A17" s="12">
        <v>18</v>
      </c>
      <c r="B17" s="34" t="b">
        <v>1</v>
      </c>
      <c r="C17" s="34" t="s">
        <v>932</v>
      </c>
      <c r="N17" s="34" t="str">
        <f t="shared" si="2"/>
        <v/>
      </c>
      <c r="O17" s="34" t="b">
        <f t="shared" si="4"/>
        <v>1</v>
      </c>
      <c r="P17" s="34">
        <v>16</v>
      </c>
    </row>
    <row r="18" spans="1:16">
      <c r="A18" s="12">
        <v>19</v>
      </c>
      <c r="B18" s="34" t="b">
        <v>1</v>
      </c>
      <c r="C18" s="34" t="s">
        <v>933</v>
      </c>
      <c r="N18" s="34" t="str">
        <f t="shared" si="2"/>
        <v/>
      </c>
      <c r="O18" s="34" t="b">
        <f t="shared" si="4"/>
        <v>1</v>
      </c>
      <c r="P18" s="34">
        <v>17</v>
      </c>
    </row>
    <row r="19" spans="1:16">
      <c r="A19" s="12" t="s">
        <v>934</v>
      </c>
      <c r="B19" s="34" t="b">
        <v>0</v>
      </c>
      <c r="C19" s="34" t="s">
        <v>323</v>
      </c>
      <c r="N19" s="34" t="str">
        <f t="shared" si="2"/>
        <v/>
      </c>
      <c r="O19" s="34" t="b">
        <f t="shared" si="4"/>
        <v>1</v>
      </c>
      <c r="P19" s="34">
        <v>18</v>
      </c>
    </row>
    <row r="20" spans="1:16">
      <c r="N20" s="34" t="str">
        <f t="shared" si="2"/>
        <v/>
      </c>
      <c r="O20" s="34" t="b">
        <f t="shared" si="4"/>
        <v>1</v>
      </c>
      <c r="P20" s="34">
        <v>19</v>
      </c>
    </row>
    <row r="21" spans="1:16">
      <c r="N21" s="34" t="str">
        <f t="shared" si="2"/>
        <v>-19</v>
      </c>
      <c r="O21" s="34" t="b">
        <f t="shared" si="4"/>
        <v>0</v>
      </c>
      <c r="P21" s="34">
        <v>20</v>
      </c>
    </row>
    <row r="22" spans="1:16">
      <c r="N22" s="34" t="str">
        <f t="shared" si="2"/>
        <v/>
      </c>
      <c r="O22" s="34" t="b">
        <f>B19</f>
        <v>0</v>
      </c>
      <c r="P22" s="34">
        <v>21</v>
      </c>
    </row>
    <row r="23" spans="1:16">
      <c r="N23" s="34" t="str">
        <f t="shared" si="2"/>
        <v/>
      </c>
      <c r="O23" s="34" t="b">
        <f>FALSE()</f>
        <v>0</v>
      </c>
    </row>
  </sheetData>
  <mergeCells count="1">
    <mergeCell ref="B1:C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1:Q18"/>
  <sheetViews>
    <sheetView workbookViewId="0"/>
  </sheetViews>
  <sheetFormatPr defaultColWidth="12.5703125" defaultRowHeight="15.75" customHeight="1"/>
  <cols>
    <col min="1" max="1" width="4.7109375" customWidth="1"/>
    <col min="2" max="18" width="5.140625" customWidth="1"/>
  </cols>
  <sheetData>
    <row r="1" spans="2:17" ht="15.75" customHeight="1">
      <c r="B1" s="497" t="s">
        <v>935</v>
      </c>
      <c r="C1" s="294"/>
      <c r="D1" s="294"/>
      <c r="E1" s="294"/>
      <c r="F1" s="294"/>
      <c r="G1" s="294"/>
      <c r="H1" s="294"/>
      <c r="I1" s="294"/>
      <c r="J1" s="294"/>
      <c r="K1" s="294"/>
      <c r="L1" s="294"/>
      <c r="M1" s="294"/>
      <c r="N1" s="294"/>
      <c r="O1" s="294"/>
      <c r="P1" s="294"/>
      <c r="Q1" s="294"/>
    </row>
    <row r="3" spans="2:17">
      <c r="B3" s="495" t="s">
        <v>936</v>
      </c>
      <c r="C3" s="294"/>
      <c r="D3" s="294"/>
      <c r="E3" s="294"/>
      <c r="F3" s="294"/>
      <c r="G3" s="294"/>
      <c r="H3" s="294"/>
      <c r="I3" s="294"/>
      <c r="J3" s="294"/>
      <c r="K3" s="294"/>
      <c r="L3" s="294"/>
      <c r="M3" s="294"/>
      <c r="N3" s="294"/>
      <c r="O3" s="294"/>
      <c r="P3" s="294"/>
      <c r="Q3" s="294"/>
    </row>
    <row r="5" spans="2:17">
      <c r="B5" s="431" t="s">
        <v>937</v>
      </c>
      <c r="C5" s="319"/>
      <c r="D5" s="319"/>
      <c r="E5" s="431" t="str">
        <f>Avaliação!$D$2</f>
        <v>Av1</v>
      </c>
      <c r="F5" s="319"/>
      <c r="G5" s="432" t="s">
        <v>39</v>
      </c>
      <c r="H5" s="431" t="str">
        <f ca="1">IF('BD tratado'!$A$147&gt;4,OFFSET('BD tratado'!$D$1,,'BD tratado'!$A$147-2),BD!$C$1)</f>
        <v>Av13</v>
      </c>
      <c r="I5" s="319"/>
      <c r="J5" s="432" t="s">
        <v>39</v>
      </c>
      <c r="K5" s="431" t="str">
        <f ca="1">IF('BD tratado'!$A$147&gt;4,OFFSET('BD tratado'!$D$1,,'BD tratado'!$A$147-1),BD!$D$1)</f>
        <v>Av14</v>
      </c>
      <c r="L5" s="319"/>
      <c r="M5" s="432" t="s">
        <v>39</v>
      </c>
      <c r="N5" s="431" t="str">
        <f ca="1">IF('BD tratado'!$A$147&gt;4,OFFSET('BD tratado'!$D$1,,'BD tratado'!$A$147),BD!$E$1)</f>
        <v>Av15</v>
      </c>
      <c r="O5" s="319"/>
      <c r="P5" s="431" t="s">
        <v>356</v>
      </c>
      <c r="Q5" s="319"/>
    </row>
    <row r="6" spans="2:17">
      <c r="B6" s="317"/>
      <c r="C6" s="317"/>
      <c r="D6" s="317"/>
      <c r="E6" s="365">
        <f ca="1">OFFSET(BD!$A$2,,MATCH(E5,BD!$B$1:$P$1,0))</f>
        <v>44517</v>
      </c>
      <c r="F6" s="317"/>
      <c r="G6" s="317"/>
      <c r="H6" s="365">
        <f ca="1">OFFSET(BD!$A$2,,MATCH(H5,BD!$B$1:$P$1,0))</f>
        <v>0</v>
      </c>
      <c r="I6" s="317"/>
      <c r="J6" s="317"/>
      <c r="K6" s="365">
        <f ca="1">OFFSET(BD!$A$2,,MATCH(K5,BD!$B$1:$P$1,0))</f>
        <v>0</v>
      </c>
      <c r="L6" s="317"/>
      <c r="M6" s="317"/>
      <c r="N6" s="365">
        <f ca="1">OFFSET(BD!$A$2,,MATCH(N5,BD!$B$1:$P$1,0))</f>
        <v>0</v>
      </c>
      <c r="O6" s="317"/>
      <c r="P6" s="317"/>
      <c r="Q6" s="317"/>
    </row>
    <row r="8" spans="2:17" ht="15.75" customHeight="1">
      <c r="B8" s="294"/>
      <c r="C8" s="294"/>
      <c r="D8" s="294"/>
      <c r="E8" s="294"/>
      <c r="F8" s="294"/>
      <c r="G8" s="294"/>
      <c r="H8" s="294"/>
      <c r="I8" s="294"/>
      <c r="J8" s="294"/>
      <c r="K8" s="294"/>
      <c r="L8" s="294"/>
      <c r="M8" s="294"/>
      <c r="N8" s="294"/>
      <c r="O8" s="294"/>
      <c r="P8" s="294"/>
      <c r="Q8" s="294"/>
    </row>
    <row r="9" spans="2:17">
      <c r="B9" s="495" t="s">
        <v>938</v>
      </c>
      <c r="C9" s="294"/>
      <c r="D9" s="294"/>
      <c r="E9" s="294"/>
      <c r="F9" s="294"/>
      <c r="G9" s="294"/>
      <c r="H9" s="294"/>
      <c r="I9" s="294"/>
      <c r="J9" s="294"/>
      <c r="K9" s="294"/>
      <c r="L9" s="294"/>
      <c r="M9" s="294"/>
      <c r="N9" s="294"/>
      <c r="O9" s="294"/>
      <c r="P9" s="294"/>
      <c r="Q9" s="294"/>
    </row>
    <row r="11" spans="2:17">
      <c r="B11" s="431"/>
      <c r="C11" s="319"/>
      <c r="D11" s="319"/>
      <c r="E11" s="431" t="str">
        <f>Laudo!$D$100</f>
        <v>Av1</v>
      </c>
      <c r="F11" s="319"/>
      <c r="G11" s="496" t="s">
        <v>39</v>
      </c>
      <c r="H11" s="431" t="str">
        <f ca="1">Laudo!$G$100</f>
        <v>Av13</v>
      </c>
      <c r="I11" s="319"/>
      <c r="J11" s="496" t="s">
        <v>39</v>
      </c>
      <c r="K11" s="431" t="str">
        <f ca="1">Laudo!$J$100</f>
        <v>Av14</v>
      </c>
      <c r="L11" s="319"/>
      <c r="M11" s="496" t="s">
        <v>39</v>
      </c>
      <c r="N11" s="431" t="str">
        <f ca="1">Laudo!$M$100</f>
        <v>Av15</v>
      </c>
      <c r="O11" s="319"/>
      <c r="P11" s="431" t="s">
        <v>356</v>
      </c>
      <c r="Q11" s="319"/>
    </row>
    <row r="12" spans="2:17">
      <c r="B12" s="317"/>
      <c r="C12" s="317"/>
      <c r="D12" s="317"/>
      <c r="E12" s="365">
        <f ca="1">Laudo!$D$101</f>
        <v>44517</v>
      </c>
      <c r="F12" s="317"/>
      <c r="G12" s="317"/>
      <c r="H12" s="365">
        <f ca="1">Laudo!$G$101</f>
        <v>0</v>
      </c>
      <c r="I12" s="317"/>
      <c r="J12" s="317"/>
      <c r="K12" s="365">
        <f ca="1">Laudo!$J$101</f>
        <v>0</v>
      </c>
      <c r="L12" s="317"/>
      <c r="M12" s="317"/>
      <c r="N12" s="365">
        <f ca="1">Laudo!$M$101</f>
        <v>0</v>
      </c>
      <c r="O12" s="317"/>
      <c r="P12" s="317"/>
      <c r="Q12" s="317"/>
    </row>
    <row r="14" spans="2:17" ht="15.75" customHeight="1">
      <c r="B14" s="294"/>
      <c r="C14" s="294"/>
      <c r="D14" s="294"/>
      <c r="E14" s="294"/>
      <c r="F14" s="294"/>
      <c r="G14" s="294"/>
      <c r="H14" s="294"/>
      <c r="I14" s="294"/>
      <c r="J14" s="294"/>
      <c r="K14" s="294"/>
      <c r="L14" s="294"/>
      <c r="M14" s="294"/>
      <c r="N14" s="294"/>
      <c r="O14" s="294"/>
      <c r="P14" s="294"/>
      <c r="Q14" s="294"/>
    </row>
    <row r="15" spans="2:17">
      <c r="B15" s="495" t="s">
        <v>939</v>
      </c>
      <c r="C15" s="294"/>
      <c r="D15" s="294"/>
      <c r="E15" s="294"/>
      <c r="F15" s="294"/>
      <c r="G15" s="294"/>
      <c r="H15" s="294"/>
      <c r="I15" s="294"/>
      <c r="J15" s="294"/>
      <c r="K15" s="294"/>
      <c r="L15" s="294"/>
      <c r="M15" s="294"/>
      <c r="N15" s="294"/>
      <c r="O15" s="294"/>
      <c r="P15" s="294"/>
      <c r="Q15" s="294"/>
    </row>
    <row r="17" spans="2:17">
      <c r="B17" s="350" t="s">
        <v>393</v>
      </c>
      <c r="C17" s="319"/>
      <c r="D17" s="319"/>
      <c r="E17" s="431" t="str">
        <f>Laudo!$D$100</f>
        <v>Av1</v>
      </c>
      <c r="F17" s="319"/>
      <c r="G17" s="319"/>
      <c r="H17" s="431" t="str">
        <f ca="1">Laudo!$G$100</f>
        <v>Av13</v>
      </c>
      <c r="I17" s="319"/>
      <c r="J17" s="319"/>
      <c r="K17" s="431" t="str">
        <f ca="1">Laudo!$J$100</f>
        <v>Av14</v>
      </c>
      <c r="L17" s="319"/>
      <c r="M17" s="319"/>
      <c r="N17" s="431" t="str">
        <f ca="1">Laudo!$M$100</f>
        <v>Av15</v>
      </c>
      <c r="O17" s="319"/>
      <c r="P17" s="319"/>
      <c r="Q17" s="122"/>
    </row>
    <row r="18" spans="2:17">
      <c r="B18" s="317"/>
      <c r="C18" s="317"/>
      <c r="D18" s="317"/>
      <c r="E18" s="365">
        <f ca="1">Laudo!$D$101</f>
        <v>44517</v>
      </c>
      <c r="F18" s="317"/>
      <c r="G18" s="317"/>
      <c r="H18" s="365">
        <f ca="1">Laudo!$G$101</f>
        <v>0</v>
      </c>
      <c r="I18" s="317"/>
      <c r="J18" s="317"/>
      <c r="K18" s="365">
        <f ca="1">Laudo!$J$101</f>
        <v>0</v>
      </c>
      <c r="L18" s="317"/>
      <c r="M18" s="317"/>
      <c r="N18" s="365">
        <f ca="1">Laudo!$M$101</f>
        <v>0</v>
      </c>
      <c r="O18" s="317"/>
      <c r="P18" s="317"/>
      <c r="Q18" s="128"/>
    </row>
  </sheetData>
  <mergeCells count="41">
    <mergeCell ref="H5:I5"/>
    <mergeCell ref="H6:I6"/>
    <mergeCell ref="B1:Q1"/>
    <mergeCell ref="B3:Q3"/>
    <mergeCell ref="B5:D6"/>
    <mergeCell ref="E5:F5"/>
    <mergeCell ref="G5:G6"/>
    <mergeCell ref="J5:J6"/>
    <mergeCell ref="E6:F6"/>
    <mergeCell ref="K5:L5"/>
    <mergeCell ref="M5:M6"/>
    <mergeCell ref="K6:L6"/>
    <mergeCell ref="N5:O5"/>
    <mergeCell ref="P5:Q6"/>
    <mergeCell ref="N6:O6"/>
    <mergeCell ref="K18:M18"/>
    <mergeCell ref="N18:P18"/>
    <mergeCell ref="B14:Q14"/>
    <mergeCell ref="B15:Q15"/>
    <mergeCell ref="B17:D18"/>
    <mergeCell ref="E17:G17"/>
    <mergeCell ref="H17:J17"/>
    <mergeCell ref="K17:M17"/>
    <mergeCell ref="N17:P17"/>
    <mergeCell ref="E18:G18"/>
    <mergeCell ref="H18:J18"/>
    <mergeCell ref="N11:O11"/>
    <mergeCell ref="P11:Q12"/>
    <mergeCell ref="N12:O12"/>
    <mergeCell ref="B8:Q8"/>
    <mergeCell ref="B9:Q9"/>
    <mergeCell ref="B11:D12"/>
    <mergeCell ref="E11:F11"/>
    <mergeCell ref="G11:G12"/>
    <mergeCell ref="J11:J12"/>
    <mergeCell ref="E12:F12"/>
    <mergeCell ref="K11:L11"/>
    <mergeCell ref="M11:M12"/>
    <mergeCell ref="K12:L12"/>
    <mergeCell ref="H11:I11"/>
    <mergeCell ref="H12:I12"/>
  </mergeCell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BD!$B$1:$P$1</xm:f>
          </x14:formula1>
          <xm:sqref>E5 H5 K5 N5</xm:sqref>
        </x14:dataValidation>
        <x14:dataValidation type="list" allowBlank="1" showErrorMessage="1" xr:uid="{00000000-0002-0000-0A00-000001000000}">
          <x14:formula1>
            <xm:f>BD!$B$1:$I$1</xm:f>
          </x14:formula1>
          <xm:sqref>E11 H11 K11 N11 E17 H17 K17 N17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workbookViewId="0"/>
  </sheetViews>
  <sheetFormatPr defaultColWidth="12.5703125" defaultRowHeight="15.75" customHeight="1"/>
  <cols>
    <col min="1" max="1" width="1" customWidth="1"/>
    <col min="2" max="2" width="0.85546875" customWidth="1"/>
    <col min="3" max="3" width="6.140625" customWidth="1"/>
    <col min="4" max="4" width="5.5703125" customWidth="1"/>
    <col min="5" max="5" width="6.140625" customWidth="1"/>
    <col min="6" max="6" width="5.5703125" customWidth="1"/>
    <col min="7" max="7" width="6.140625" customWidth="1"/>
    <col min="8" max="8" width="5.5703125" customWidth="1"/>
    <col min="9" max="9" width="6.140625" customWidth="1"/>
    <col min="10" max="10" width="9.7109375" customWidth="1"/>
    <col min="11" max="12" width="0.85546875" customWidth="1"/>
  </cols>
  <sheetData>
    <row r="1" spans="1:12" ht="6" customHeight="1">
      <c r="A1" s="175"/>
      <c r="B1" s="175"/>
      <c r="C1" s="176"/>
      <c r="D1" s="177"/>
      <c r="E1" s="177"/>
      <c r="F1" s="177"/>
      <c r="G1" s="177"/>
      <c r="H1" s="177"/>
      <c r="I1" s="177"/>
      <c r="J1" s="177"/>
      <c r="K1" s="175"/>
      <c r="L1" s="175"/>
    </row>
    <row r="2" spans="1:12" ht="15.75" customHeight="1">
      <c r="A2" s="175"/>
      <c r="B2" s="178"/>
      <c r="C2" s="179"/>
      <c r="D2" s="180"/>
      <c r="E2" s="180"/>
      <c r="F2" s="180"/>
      <c r="G2" s="498" t="str">
        <f>Avaliação!B1</f>
        <v>Claudinei Rogério Gasparoto</v>
      </c>
      <c r="H2" s="499"/>
      <c r="I2" s="499"/>
      <c r="J2" s="499"/>
      <c r="K2" s="181"/>
      <c r="L2" s="175"/>
    </row>
    <row r="3" spans="1:12" ht="15.75" customHeight="1">
      <c r="A3" s="175"/>
      <c r="B3" s="178"/>
      <c r="C3" s="179"/>
      <c r="D3" s="180"/>
      <c r="E3" s="180"/>
      <c r="F3" s="180"/>
      <c r="G3" s="500" t="str">
        <f ca="1">IFERROR(__xludf.DUMMYFUNCTION("""Última Avaliação: ""&amp;TO_TEXT(TO_DATE(Laudo!L592))"),"Última Avaliação: 08/10/2025")</f>
        <v>Última Avaliação: 08/10/2025</v>
      </c>
      <c r="H3" s="499"/>
      <c r="I3" s="499"/>
      <c r="J3" s="501"/>
      <c r="K3" s="181"/>
      <c r="L3" s="175"/>
    </row>
    <row r="4" spans="1:12" ht="6" customHeight="1">
      <c r="A4" s="175"/>
      <c r="B4" s="178"/>
      <c r="C4" s="179"/>
      <c r="D4" s="180"/>
      <c r="E4" s="180"/>
      <c r="F4" s="180"/>
      <c r="G4" s="180"/>
      <c r="H4" s="180"/>
      <c r="I4" s="180"/>
      <c r="J4" s="180"/>
      <c r="K4" s="181"/>
      <c r="L4" s="175"/>
    </row>
    <row r="5" spans="1:12" ht="21" customHeight="1">
      <c r="A5" s="182"/>
      <c r="B5" s="183"/>
      <c r="C5" s="184" t="s">
        <v>940</v>
      </c>
      <c r="D5" s="185">
        <f ca="1">'BD tratado'!$C$8</f>
        <v>70</v>
      </c>
      <c r="E5" s="186" t="s">
        <v>941</v>
      </c>
      <c r="F5" s="187" t="e">
        <f ca="1">'BD tratado'!$C$31</f>
        <v>#VALUE!</v>
      </c>
      <c r="G5" s="188" t="s">
        <v>942</v>
      </c>
      <c r="H5" s="185" t="e">
        <f ca="1">'BD tratado'!$C$33</f>
        <v>#VALUE!</v>
      </c>
      <c r="I5" s="189" t="s">
        <v>943</v>
      </c>
      <c r="J5" s="190" t="e">
        <f ca="1">'BD tratado'!$C$32</f>
        <v>#VALUE!</v>
      </c>
      <c r="K5" s="191"/>
      <c r="L5" s="182"/>
    </row>
    <row r="6" spans="1:12" ht="21" customHeight="1">
      <c r="A6" s="182"/>
      <c r="B6" s="183"/>
      <c r="C6" s="192" t="s">
        <v>944</v>
      </c>
      <c r="D6" s="193">
        <f ca="1">'BD tratado'!$C$138</f>
        <v>60.46</v>
      </c>
      <c r="E6" s="194" t="s">
        <v>945</v>
      </c>
      <c r="F6" s="195">
        <f ca="1">'BD tratado'!$C$137</f>
        <v>51</v>
      </c>
      <c r="G6" s="196" t="s">
        <v>946</v>
      </c>
      <c r="H6" s="193">
        <f ca="1">'BD tratado'!$C$141</f>
        <v>15</v>
      </c>
      <c r="I6" s="195" t="s">
        <v>947</v>
      </c>
      <c r="J6" s="197">
        <f ca="1">'BD tratado'!$C$142</f>
        <v>4</v>
      </c>
      <c r="K6" s="191"/>
      <c r="L6" s="182"/>
    </row>
    <row r="7" spans="1:12" ht="21" customHeight="1">
      <c r="A7" s="182"/>
      <c r="B7" s="183"/>
      <c r="C7" s="198" t="s">
        <v>948</v>
      </c>
      <c r="D7" s="199">
        <f ca="1">D6/3.5</f>
        <v>17.274285714285714</v>
      </c>
      <c r="E7" s="200" t="s">
        <v>949</v>
      </c>
      <c r="F7" s="201">
        <f ca="1">'BD tratado'!$C$145</f>
        <v>150</v>
      </c>
      <c r="G7" s="202" t="s">
        <v>950</v>
      </c>
      <c r="H7" s="203">
        <f ca="1">'BD tratado'!$C$140</f>
        <v>138</v>
      </c>
      <c r="I7" s="204" t="s">
        <v>951</v>
      </c>
      <c r="J7" s="205" t="e">
        <f ca="1">'BD tratado'!$C$38</f>
        <v>#VALUE!</v>
      </c>
      <c r="K7" s="191"/>
      <c r="L7" s="182"/>
    </row>
    <row r="8" spans="1:12" ht="7.5" customHeight="1">
      <c r="A8" s="206"/>
      <c r="B8" s="207"/>
      <c r="C8" s="208"/>
      <c r="D8" s="209"/>
      <c r="E8" s="209"/>
      <c r="F8" s="209"/>
      <c r="G8" s="209"/>
      <c r="H8" s="209"/>
      <c r="I8" s="209"/>
      <c r="J8" s="210"/>
      <c r="K8" s="211"/>
      <c r="L8" s="206"/>
    </row>
    <row r="9" spans="1:12" ht="22.5" customHeight="1">
      <c r="A9" s="206"/>
      <c r="B9" s="207"/>
      <c r="C9" s="212" t="s">
        <v>952</v>
      </c>
      <c r="D9" s="212" t="s">
        <v>953</v>
      </c>
      <c r="E9" s="212" t="s">
        <v>954</v>
      </c>
      <c r="F9" s="212" t="s">
        <v>955</v>
      </c>
      <c r="G9" s="212" t="s">
        <v>956</v>
      </c>
      <c r="H9" s="212" t="s">
        <v>310</v>
      </c>
      <c r="I9" s="212" t="s">
        <v>432</v>
      </c>
      <c r="J9" s="212" t="s">
        <v>433</v>
      </c>
      <c r="K9" s="211"/>
      <c r="L9" s="206"/>
    </row>
    <row r="10" spans="1:12" ht="18" customHeight="1">
      <c r="A10" s="182"/>
      <c r="B10" s="183"/>
      <c r="C10" s="213">
        <v>0.5</v>
      </c>
      <c r="D10" s="214">
        <f t="shared" ref="D10:D20" ca="1" si="0">ROUND($F$6+(($F$7-$F$6)*C10),1)</f>
        <v>100.5</v>
      </c>
      <c r="E10" s="214">
        <f t="shared" ref="E10:E20" ca="1" si="1">D10/4</f>
        <v>25.125</v>
      </c>
      <c r="F10" s="215">
        <f ca="1">Laudo!G612</f>
        <v>10</v>
      </c>
      <c r="G10" s="215">
        <f t="shared" ref="G10:G22" ca="1" si="2">IF(F10="","",60/F10)</f>
        <v>6</v>
      </c>
      <c r="H10" s="215" t="str">
        <f ca="1">Laudo!K612</f>
        <v>-</v>
      </c>
      <c r="I10" s="216" t="s">
        <v>957</v>
      </c>
      <c r="J10" s="216" t="s">
        <v>434</v>
      </c>
      <c r="K10" s="191"/>
      <c r="L10" s="182"/>
    </row>
    <row r="11" spans="1:12" ht="18" customHeight="1">
      <c r="A11" s="182"/>
      <c r="B11" s="183"/>
      <c r="C11" s="213">
        <v>0.55000000000000004</v>
      </c>
      <c r="D11" s="214">
        <f t="shared" ca="1" si="0"/>
        <v>105.5</v>
      </c>
      <c r="E11" s="214">
        <f t="shared" ca="1" si="1"/>
        <v>26.375</v>
      </c>
      <c r="F11" s="215">
        <f ca="1">Laudo!G613</f>
        <v>10.5</v>
      </c>
      <c r="G11" s="215">
        <f t="shared" ca="1" si="2"/>
        <v>5.7142857142857144</v>
      </c>
      <c r="H11" s="215" t="str">
        <f ca="1">Laudo!K613</f>
        <v>-</v>
      </c>
      <c r="I11" s="216" t="s">
        <v>958</v>
      </c>
      <c r="J11" s="216" t="s">
        <v>434</v>
      </c>
      <c r="K11" s="191"/>
      <c r="L11" s="182"/>
    </row>
    <row r="12" spans="1:12" ht="18" customHeight="1">
      <c r="A12" s="182"/>
      <c r="B12" s="183"/>
      <c r="C12" s="213">
        <v>0.6</v>
      </c>
      <c r="D12" s="214">
        <f t="shared" ca="1" si="0"/>
        <v>110.4</v>
      </c>
      <c r="E12" s="214">
        <f t="shared" ca="1" si="1"/>
        <v>27.6</v>
      </c>
      <c r="F12" s="215">
        <f ca="1">Laudo!G614</f>
        <v>10.9</v>
      </c>
      <c r="G12" s="215">
        <f t="shared" ca="1" si="2"/>
        <v>5.5045871559633026</v>
      </c>
      <c r="H12" s="215" t="str">
        <f ca="1">Laudo!K614</f>
        <v>-</v>
      </c>
      <c r="I12" s="216" t="s">
        <v>959</v>
      </c>
      <c r="J12" s="216" t="s">
        <v>434</v>
      </c>
      <c r="K12" s="191"/>
      <c r="L12" s="182"/>
    </row>
    <row r="13" spans="1:12" ht="18" customHeight="1">
      <c r="A13" s="217"/>
      <c r="B13" s="218"/>
      <c r="C13" s="219">
        <v>0.65</v>
      </c>
      <c r="D13" s="220">
        <f t="shared" ca="1" si="0"/>
        <v>115.4</v>
      </c>
      <c r="E13" s="220">
        <f t="shared" ca="1" si="1"/>
        <v>28.85</v>
      </c>
      <c r="F13" s="221">
        <f ca="1">Laudo!G615</f>
        <v>11.8</v>
      </c>
      <c r="G13" s="221">
        <f t="shared" ca="1" si="2"/>
        <v>5.0847457627118642</v>
      </c>
      <c r="H13" s="221" t="str">
        <f ca="1">Laudo!K615</f>
        <v>-</v>
      </c>
      <c r="I13" s="222" t="s">
        <v>960</v>
      </c>
      <c r="J13" s="222" t="s">
        <v>435</v>
      </c>
      <c r="K13" s="223"/>
      <c r="L13" s="217"/>
    </row>
    <row r="14" spans="1:12" ht="18" customHeight="1">
      <c r="A14" s="217"/>
      <c r="B14" s="218"/>
      <c r="C14" s="219">
        <v>0.7</v>
      </c>
      <c r="D14" s="220">
        <f t="shared" ca="1" si="0"/>
        <v>120.3</v>
      </c>
      <c r="E14" s="220">
        <f t="shared" ca="1" si="1"/>
        <v>30.074999999999999</v>
      </c>
      <c r="F14" s="221">
        <f ca="1">Laudo!G616</f>
        <v>12.7</v>
      </c>
      <c r="G14" s="221">
        <f t="shared" ca="1" si="2"/>
        <v>4.7244094488188981</v>
      </c>
      <c r="H14" s="221" t="str">
        <f ca="1">Laudo!K616</f>
        <v>-</v>
      </c>
      <c r="I14" s="222" t="s">
        <v>961</v>
      </c>
      <c r="J14" s="222" t="s">
        <v>435</v>
      </c>
      <c r="K14" s="223"/>
      <c r="L14" s="217"/>
    </row>
    <row r="15" spans="1:12" ht="18" customHeight="1">
      <c r="A15" s="217"/>
      <c r="B15" s="218"/>
      <c r="C15" s="219">
        <v>0.75</v>
      </c>
      <c r="D15" s="220">
        <f t="shared" ca="1" si="0"/>
        <v>125.3</v>
      </c>
      <c r="E15" s="220">
        <f t="shared" ca="1" si="1"/>
        <v>31.324999999999999</v>
      </c>
      <c r="F15" s="221">
        <f ca="1">Laudo!G617</f>
        <v>13.6</v>
      </c>
      <c r="G15" s="221">
        <f t="shared" ca="1" si="2"/>
        <v>4.4117647058823533</v>
      </c>
      <c r="H15" s="221" t="str">
        <f ca="1">Laudo!K617</f>
        <v>-</v>
      </c>
      <c r="I15" s="222" t="s">
        <v>962</v>
      </c>
      <c r="J15" s="222" t="s">
        <v>435</v>
      </c>
      <c r="K15" s="223"/>
      <c r="L15" s="217"/>
    </row>
    <row r="16" spans="1:12" ht="18" customHeight="1">
      <c r="A16" s="217"/>
      <c r="B16" s="218"/>
      <c r="C16" s="224">
        <v>0.8</v>
      </c>
      <c r="D16" s="225">
        <f t="shared" ca="1" si="0"/>
        <v>130.19999999999999</v>
      </c>
      <c r="E16" s="225">
        <f t="shared" ca="1" si="1"/>
        <v>32.549999999999997</v>
      </c>
      <c r="F16" s="226">
        <f ca="1">Laudo!G618</f>
        <v>14.5</v>
      </c>
      <c r="G16" s="226">
        <f t="shared" ca="1" si="2"/>
        <v>4.1379310344827589</v>
      </c>
      <c r="H16" s="226" t="str">
        <f ca="1">Laudo!K618</f>
        <v>-</v>
      </c>
      <c r="I16" s="227" t="s">
        <v>963</v>
      </c>
      <c r="J16" s="227" t="s">
        <v>436</v>
      </c>
      <c r="K16" s="223"/>
      <c r="L16" s="217"/>
    </row>
    <row r="17" spans="1:12" ht="18" customHeight="1">
      <c r="A17" s="217"/>
      <c r="B17" s="218"/>
      <c r="C17" s="228">
        <v>0.85</v>
      </c>
      <c r="D17" s="229">
        <f t="shared" ca="1" si="0"/>
        <v>135.19999999999999</v>
      </c>
      <c r="E17" s="229">
        <f t="shared" ca="1" si="1"/>
        <v>33.799999999999997</v>
      </c>
      <c r="F17" s="230">
        <f ca="1">Laudo!G619</f>
        <v>15.4</v>
      </c>
      <c r="G17" s="230">
        <f t="shared" ca="1" si="2"/>
        <v>3.8961038961038961</v>
      </c>
      <c r="H17" s="230" t="str">
        <f ca="1">Laudo!K619</f>
        <v>-</v>
      </c>
      <c r="I17" s="231" t="s">
        <v>964</v>
      </c>
      <c r="J17" s="231" t="s">
        <v>436</v>
      </c>
      <c r="K17" s="223"/>
      <c r="L17" s="217"/>
    </row>
    <row r="18" spans="1:12" ht="18" customHeight="1">
      <c r="A18" s="217"/>
      <c r="B18" s="218"/>
      <c r="C18" s="228">
        <v>0.9</v>
      </c>
      <c r="D18" s="229">
        <f t="shared" ca="1" si="0"/>
        <v>140.1</v>
      </c>
      <c r="E18" s="229">
        <f t="shared" ca="1" si="1"/>
        <v>35.024999999999999</v>
      </c>
      <c r="F18" s="230">
        <f ca="1">Laudo!G620</f>
        <v>16.3</v>
      </c>
      <c r="G18" s="230">
        <f t="shared" ca="1" si="2"/>
        <v>3.6809815950920242</v>
      </c>
      <c r="H18" s="230" t="str">
        <f ca="1">Laudo!K620</f>
        <v>-</v>
      </c>
      <c r="I18" s="231" t="s">
        <v>922</v>
      </c>
      <c r="J18" s="231" t="s">
        <v>436</v>
      </c>
      <c r="K18" s="223"/>
      <c r="L18" s="217"/>
    </row>
    <row r="19" spans="1:12" ht="18" customHeight="1">
      <c r="A19" s="217"/>
      <c r="B19" s="218"/>
      <c r="C19" s="232">
        <v>0.95</v>
      </c>
      <c r="D19" s="233">
        <f t="shared" ca="1" si="0"/>
        <v>145.1</v>
      </c>
      <c r="E19" s="233">
        <f t="shared" ca="1" si="1"/>
        <v>36.274999999999999</v>
      </c>
      <c r="F19" s="234">
        <f ca="1">Laudo!G621</f>
        <v>17.2</v>
      </c>
      <c r="G19" s="234">
        <f t="shared" ca="1" si="2"/>
        <v>3.4883720930232558</v>
      </c>
      <c r="H19" s="234" t="str">
        <f ca="1">Laudo!K621</f>
        <v>-</v>
      </c>
      <c r="I19" s="235" t="s">
        <v>965</v>
      </c>
      <c r="J19" s="235" t="s">
        <v>228</v>
      </c>
      <c r="K19" s="223"/>
      <c r="L19" s="217"/>
    </row>
    <row r="20" spans="1:12" ht="18" customHeight="1">
      <c r="A20" s="217"/>
      <c r="B20" s="218"/>
      <c r="C20" s="232">
        <v>1</v>
      </c>
      <c r="D20" s="233">
        <f t="shared" ca="1" si="0"/>
        <v>150</v>
      </c>
      <c r="E20" s="233">
        <f t="shared" ca="1" si="1"/>
        <v>37.5</v>
      </c>
      <c r="F20" s="234">
        <f ca="1">Laudo!G622</f>
        <v>18.100000000000001</v>
      </c>
      <c r="G20" s="234">
        <f t="shared" ca="1" si="2"/>
        <v>3.3149171270718227</v>
      </c>
      <c r="H20" s="234" t="str">
        <f ca="1">Laudo!K622</f>
        <v>-</v>
      </c>
      <c r="I20" s="235" t="s">
        <v>966</v>
      </c>
      <c r="J20" s="235" t="s">
        <v>228</v>
      </c>
      <c r="K20" s="223"/>
      <c r="L20" s="217"/>
    </row>
    <row r="21" spans="1:12" ht="18" customHeight="1">
      <c r="A21" s="217"/>
      <c r="B21" s="218"/>
      <c r="C21" s="236">
        <v>1.1000000000000001</v>
      </c>
      <c r="D21" s="237" t="s">
        <v>55</v>
      </c>
      <c r="E21" s="237" t="s">
        <v>55</v>
      </c>
      <c r="F21" s="238">
        <f ca="1">Laudo!G623</f>
        <v>21.1</v>
      </c>
      <c r="G21" s="238">
        <f t="shared" ca="1" si="2"/>
        <v>2.8436018957345968</v>
      </c>
      <c r="H21" s="238" t="str">
        <f ca="1">Laudo!K623</f>
        <v>-</v>
      </c>
      <c r="I21" s="239" t="s">
        <v>966</v>
      </c>
      <c r="J21" s="239" t="s">
        <v>437</v>
      </c>
      <c r="K21" s="223"/>
      <c r="L21" s="217"/>
    </row>
    <row r="22" spans="1:12" ht="18" customHeight="1">
      <c r="A22" s="217"/>
      <c r="B22" s="218"/>
      <c r="C22" s="236">
        <v>1.2</v>
      </c>
      <c r="D22" s="237" t="s">
        <v>55</v>
      </c>
      <c r="E22" s="237" t="s">
        <v>55</v>
      </c>
      <c r="F22" s="238">
        <f ca="1">Laudo!G624</f>
        <v>23.1</v>
      </c>
      <c r="G22" s="238">
        <f t="shared" ca="1" si="2"/>
        <v>2.5974025974025974</v>
      </c>
      <c r="H22" s="238" t="str">
        <f ca="1">Laudo!K624</f>
        <v>-</v>
      </c>
      <c r="I22" s="239" t="s">
        <v>966</v>
      </c>
      <c r="J22" s="239" t="s">
        <v>437</v>
      </c>
      <c r="K22" s="223"/>
      <c r="L22" s="217"/>
    </row>
    <row r="23" spans="1:12" ht="10.5" customHeight="1">
      <c r="A23" s="175"/>
      <c r="B23" s="178"/>
      <c r="C23" s="240"/>
      <c r="D23" s="241"/>
      <c r="E23" s="242"/>
      <c r="F23" s="242"/>
      <c r="G23" s="242"/>
      <c r="H23" s="242"/>
      <c r="I23" s="241"/>
      <c r="J23" s="243"/>
      <c r="K23" s="181"/>
      <c r="L23" s="175"/>
    </row>
    <row r="24" spans="1:12" ht="6.75" customHeight="1">
      <c r="A24" s="244"/>
      <c r="B24" s="244"/>
      <c r="C24" s="245"/>
      <c r="D24" s="246"/>
      <c r="E24" s="246"/>
      <c r="F24" s="246"/>
      <c r="G24" s="246"/>
      <c r="H24" s="246"/>
      <c r="I24" s="246"/>
      <c r="J24" s="246"/>
      <c r="K24" s="244"/>
      <c r="L24" s="244"/>
    </row>
  </sheetData>
  <mergeCells count="2">
    <mergeCell ref="G2:J2"/>
    <mergeCell ref="G3:J3"/>
  </mergeCells>
  <pageMargins left="0.39370078740157499" right="0.39370078740157499" top="0.39370078740157499" bottom="0.39370078740157499" header="0" footer="0"/>
  <pageSetup paperSize="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359"/>
  <sheetViews>
    <sheetView workbookViewId="0"/>
  </sheetViews>
  <sheetFormatPr defaultColWidth="12.5703125" defaultRowHeight="15.75" customHeight="1"/>
  <cols>
    <col min="1" max="1" width="36.85546875" customWidth="1"/>
  </cols>
  <sheetData>
    <row r="1" spans="1:16">
      <c r="B1" s="12" t="str">
        <f>'BD tratado'!E1</f>
        <v>Av1</v>
      </c>
      <c r="C1" s="12" t="str">
        <f>'BD tratado'!F1</f>
        <v>Av2</v>
      </c>
      <c r="D1" s="12" t="str">
        <f>'BD tratado'!G1</f>
        <v>Av3</v>
      </c>
      <c r="E1" s="12" t="str">
        <f>'BD tratado'!H1</f>
        <v>Av4</v>
      </c>
      <c r="F1" s="12" t="str">
        <f>'BD tratado'!I1</f>
        <v>Av5</v>
      </c>
      <c r="G1" s="12" t="str">
        <f>'BD tratado'!J1</f>
        <v>Av6</v>
      </c>
      <c r="H1" s="12" t="str">
        <f>'BD tratado'!K1</f>
        <v>Av7</v>
      </c>
      <c r="I1" s="12" t="str">
        <f>'BD tratado'!L1</f>
        <v>Av8</v>
      </c>
      <c r="J1" s="12" t="str">
        <f>'BD tratado'!M1</f>
        <v>Av9</v>
      </c>
      <c r="K1" s="12" t="str">
        <f>'BD tratado'!N1</f>
        <v>Av10</v>
      </c>
      <c r="L1" s="12" t="str">
        <f>'BD tratado'!O1</f>
        <v>Av11</v>
      </c>
      <c r="M1" s="12" t="str">
        <f>'BD tratado'!P1</f>
        <v>Av12</v>
      </c>
      <c r="N1" s="12" t="str">
        <f>'BD tratado'!Q1</f>
        <v>Av13</v>
      </c>
      <c r="O1" s="12" t="str">
        <f>'BD tratado'!R1</f>
        <v>Av14</v>
      </c>
      <c r="P1" s="12" t="str">
        <f>'BD tratado'!S1</f>
        <v>Av15</v>
      </c>
    </row>
    <row r="2" spans="1:16">
      <c r="A2" s="34" t="str">
        <f>'BD tratado'!A8</f>
        <v>Peso (kg)</v>
      </c>
      <c r="B2" s="147">
        <f>'BD tratado'!E8</f>
        <v>75.7</v>
      </c>
      <c r="C2" s="147">
        <f>'BD tratado'!F8</f>
        <v>68</v>
      </c>
      <c r="D2" s="147">
        <f>'BD tratado'!G8</f>
        <v>62.7</v>
      </c>
      <c r="E2" s="147">
        <f>'BD tratado'!H8</f>
        <v>64.900000000000006</v>
      </c>
      <c r="F2" s="147">
        <f>'BD tratado'!I8</f>
        <v>67.7</v>
      </c>
      <c r="G2" s="147">
        <f>'BD tratado'!J8</f>
        <v>67.599999999999994</v>
      </c>
      <c r="H2" s="147">
        <f>'BD tratado'!K8</f>
        <v>67.599999999999994</v>
      </c>
      <c r="I2" s="147">
        <f>'BD tratado'!L8</f>
        <v>70.7</v>
      </c>
      <c r="J2" s="147">
        <f>'BD tratado'!M8</f>
        <v>69</v>
      </c>
      <c r="K2" s="147">
        <f>'BD tratado'!N8</f>
        <v>68.599999999999994</v>
      </c>
      <c r="L2" s="147">
        <f>'BD tratado'!O8</f>
        <v>67</v>
      </c>
      <c r="M2" s="147">
        <f>'BD tratado'!P8</f>
        <v>70</v>
      </c>
      <c r="N2" s="12">
        <f>'BD tratado'!Q8</f>
        <v>70</v>
      </c>
      <c r="O2" s="12">
        <f>'BD tratado'!R8</f>
        <v>70</v>
      </c>
      <c r="P2" s="12">
        <f>'BD tratado'!S8</f>
        <v>70</v>
      </c>
    </row>
    <row r="3" spans="1:16">
      <c r="A3" s="34" t="str">
        <f>'BD tratado'!A33</f>
        <v>Massa Magra (kg)</v>
      </c>
      <c r="B3" s="147">
        <f>'BD tratado'!E33</f>
        <v>61.415519935570174</v>
      </c>
      <c r="C3" s="147">
        <f>'BD tratado'!F33</f>
        <v>62.605133732249072</v>
      </c>
      <c r="D3" s="147">
        <f>'BD tratado'!G33</f>
        <v>59.501742213944944</v>
      </c>
      <c r="E3" s="147">
        <f>'BD tratado'!H33</f>
        <v>62.048742756030691</v>
      </c>
      <c r="F3" s="147">
        <f>'BD tratado'!I33</f>
        <v>62.595107428299599</v>
      </c>
      <c r="G3" s="147">
        <f>'BD tratado'!J33</f>
        <v>65.454973773529318</v>
      </c>
      <c r="H3" s="147">
        <f>'BD tratado'!K33</f>
        <v>65.241269214411204</v>
      </c>
      <c r="I3" s="147">
        <f>'BD tratado'!L33</f>
        <v>65.531583807224237</v>
      </c>
      <c r="J3" s="147">
        <f>'BD tratado'!M33</f>
        <v>64.158367452075382</v>
      </c>
      <c r="K3" s="147">
        <f>'BD tratado'!N33</f>
        <v>63.86825951586416</v>
      </c>
      <c r="L3" s="147">
        <f>'BD tratado'!O33</f>
        <v>63.863708685487602</v>
      </c>
      <c r="M3" s="147">
        <f>'BD tratado'!P33</f>
        <v>66.873907801420273</v>
      </c>
      <c r="N3" s="12" t="e">
        <f>'BD tratado'!Q33</f>
        <v>#VALUE!</v>
      </c>
      <c r="O3" s="12" t="e">
        <f>'BD tratado'!R33</f>
        <v>#VALUE!</v>
      </c>
      <c r="P3" s="12" t="e">
        <f>'BD tratado'!S33</f>
        <v>#VALUE!</v>
      </c>
    </row>
    <row r="4" spans="1:16">
      <c r="A4" s="34" t="str">
        <f>'BD tratado'!A32</f>
        <v>Gordura Absoluta (kg)</v>
      </c>
      <c r="B4" s="147">
        <f>'BD tratado'!E32</f>
        <v>14.284480064429831</v>
      </c>
      <c r="C4" s="147">
        <f>'BD tratado'!F32</f>
        <v>5.3948662677509311</v>
      </c>
      <c r="D4" s="147">
        <f>'BD tratado'!G32</f>
        <v>3.1982577860550618</v>
      </c>
      <c r="E4" s="147">
        <f>'BD tratado'!H32</f>
        <v>2.8512572439693162</v>
      </c>
      <c r="F4" s="147">
        <f>'BD tratado'!I32</f>
        <v>5.1048925717004012</v>
      </c>
      <c r="G4" s="147">
        <f>'BD tratado'!J32</f>
        <v>2.1450262264706708</v>
      </c>
      <c r="H4" s="147">
        <f>'BD tratado'!K32</f>
        <v>2.3587307855887936</v>
      </c>
      <c r="I4" s="147">
        <f>'BD tratado'!L32</f>
        <v>5.168416192775763</v>
      </c>
      <c r="J4" s="147">
        <f>'BD tratado'!M32</f>
        <v>4.8416325479246138</v>
      </c>
      <c r="K4" s="147">
        <f>'BD tratado'!N32</f>
        <v>4.7317404841358313</v>
      </c>
      <c r="L4" s="147">
        <f>'BD tratado'!O32</f>
        <v>3.1362913145123978</v>
      </c>
      <c r="M4" s="147">
        <f>'BD tratado'!P32</f>
        <v>3.1260921985797285</v>
      </c>
      <c r="N4" s="12" t="e">
        <f>'BD tratado'!Q32</f>
        <v>#VALUE!</v>
      </c>
      <c r="O4" s="12" t="e">
        <f>'BD tratado'!R32</f>
        <v>#VALUE!</v>
      </c>
      <c r="P4" s="12" t="e">
        <f>'BD tratado'!S32</f>
        <v>#VALUE!</v>
      </c>
    </row>
    <row r="5" spans="1:16">
      <c r="A5" s="34" t="str">
        <f>'BD tratado'!A31</f>
        <v>% Gordura</v>
      </c>
      <c r="B5" s="147">
        <f>'BD tratado'!E31</f>
        <v>18.869854774676131</v>
      </c>
      <c r="C5" s="147">
        <f>'BD tratado'!F31</f>
        <v>7.9336268643396046</v>
      </c>
      <c r="D5" s="147">
        <f>'BD tratado'!G31</f>
        <v>5.1008896109331126</v>
      </c>
      <c r="E5" s="147">
        <f>'BD tratado'!H31</f>
        <v>4.3933085423256024</v>
      </c>
      <c r="F5" s="147">
        <f>'BD tratado'!I31</f>
        <v>7.5404617011822772</v>
      </c>
      <c r="G5" s="147">
        <f>'BD tratado'!J31</f>
        <v>3.1731157196311699</v>
      </c>
      <c r="H5" s="147">
        <f>'BD tratado'!K31</f>
        <v>3.4892467242437775</v>
      </c>
      <c r="I5" s="147">
        <f>'BD tratado'!L31</f>
        <v>7.3103482217478977</v>
      </c>
      <c r="J5" s="147">
        <f>'BD tratado'!M31</f>
        <v>7.016858765108136</v>
      </c>
      <c r="K5" s="147">
        <f>'BD tratado'!N31</f>
        <v>6.8975808806644778</v>
      </c>
      <c r="L5" s="147">
        <f>'BD tratado'!O31</f>
        <v>4.6810318127050721</v>
      </c>
      <c r="M5" s="147">
        <f>'BD tratado'!P31</f>
        <v>4.4658459979710408</v>
      </c>
      <c r="N5" s="12" t="e">
        <f>'BD tratado'!Q31</f>
        <v>#VALUE!</v>
      </c>
      <c r="O5" s="12" t="e">
        <f>'BD tratado'!R31</f>
        <v>#VALUE!</v>
      </c>
      <c r="P5" s="12" t="e">
        <f>'BD tratado'!S31</f>
        <v>#VALUE!</v>
      </c>
    </row>
    <row r="6" spans="1:16">
      <c r="B6" s="12"/>
      <c r="C6" s="12"/>
      <c r="D6" s="12"/>
      <c r="E6" s="12"/>
      <c r="F6" s="12"/>
      <c r="G6" s="12"/>
      <c r="H6" s="12"/>
      <c r="I6" s="12"/>
      <c r="J6" s="12"/>
      <c r="K6" s="12"/>
      <c r="L6" s="12"/>
      <c r="M6" s="12"/>
      <c r="N6" s="12"/>
      <c r="O6" s="12"/>
      <c r="P6" s="12"/>
    </row>
    <row r="7" spans="1:16">
      <c r="B7" s="12"/>
      <c r="C7" s="12"/>
      <c r="D7" s="12"/>
      <c r="E7" s="12"/>
      <c r="F7" s="12"/>
      <c r="G7" s="12"/>
      <c r="H7" s="12"/>
      <c r="I7" s="12"/>
      <c r="J7" s="12"/>
      <c r="K7" s="12"/>
      <c r="L7" s="12"/>
      <c r="M7" s="12"/>
      <c r="N7" s="12"/>
      <c r="O7" s="12"/>
      <c r="P7" s="12"/>
    </row>
    <row r="8" spans="1:16">
      <c r="B8" s="12" t="str">
        <f t="shared" ref="B8:P8" si="0">B$1</f>
        <v>Av1</v>
      </c>
      <c r="C8" s="12" t="str">
        <f t="shared" si="0"/>
        <v>Av2</v>
      </c>
      <c r="D8" s="12" t="str">
        <f t="shared" si="0"/>
        <v>Av3</v>
      </c>
      <c r="E8" s="12" t="str">
        <f t="shared" si="0"/>
        <v>Av4</v>
      </c>
      <c r="F8" s="12" t="str">
        <f t="shared" si="0"/>
        <v>Av5</v>
      </c>
      <c r="G8" s="12" t="str">
        <f t="shared" si="0"/>
        <v>Av6</v>
      </c>
      <c r="H8" s="12" t="str">
        <f t="shared" si="0"/>
        <v>Av7</v>
      </c>
      <c r="I8" s="12" t="str">
        <f t="shared" si="0"/>
        <v>Av8</v>
      </c>
      <c r="J8" s="12" t="str">
        <f t="shared" si="0"/>
        <v>Av9</v>
      </c>
      <c r="K8" s="12" t="str">
        <f t="shared" si="0"/>
        <v>Av10</v>
      </c>
      <c r="L8" s="12" t="str">
        <f t="shared" si="0"/>
        <v>Av11</v>
      </c>
      <c r="M8" s="12" t="str">
        <f t="shared" si="0"/>
        <v>Av12</v>
      </c>
      <c r="N8" s="12" t="str">
        <f t="shared" si="0"/>
        <v>Av13</v>
      </c>
      <c r="O8" s="12" t="str">
        <f t="shared" si="0"/>
        <v>Av14</v>
      </c>
      <c r="P8" s="12" t="str">
        <f t="shared" si="0"/>
        <v>Av15</v>
      </c>
    </row>
    <row r="9" spans="1:16">
      <c r="A9" s="34" t="str">
        <f>'BD tratado'!A25</f>
        <v>D.C. Tricipital</v>
      </c>
      <c r="B9" s="147">
        <f>'BD tratado'!E25</f>
        <v>9.6</v>
      </c>
      <c r="C9" s="147">
        <f>'BD tratado'!F25</f>
        <v>4.2</v>
      </c>
      <c r="D9" s="147">
        <f>'BD tratado'!G25</f>
        <v>4</v>
      </c>
      <c r="E9" s="147">
        <f>'BD tratado'!H25</f>
        <v>3.8</v>
      </c>
      <c r="F9" s="147">
        <f>'BD tratado'!I25</f>
        <v>4</v>
      </c>
      <c r="G9" s="147">
        <f>'BD tratado'!J25</f>
        <v>3.2</v>
      </c>
      <c r="H9" s="147">
        <f>'BD tratado'!K25</f>
        <v>3.2</v>
      </c>
      <c r="I9" s="147">
        <f>'BD tratado'!L25</f>
        <v>3.4</v>
      </c>
      <c r="J9" s="147">
        <f>'BD tratado'!M25</f>
        <v>3.4</v>
      </c>
      <c r="K9" s="147">
        <f>'BD tratado'!N25</f>
        <v>3.4</v>
      </c>
      <c r="L9" s="147">
        <f>'BD tratado'!O25</f>
        <v>3</v>
      </c>
      <c r="M9" s="147">
        <f>'BD tratado'!P25</f>
        <v>3.4</v>
      </c>
      <c r="N9" s="12">
        <f>'BD tratado'!Q25</f>
        <v>3.4</v>
      </c>
      <c r="O9" s="12">
        <f>'BD tratado'!R25</f>
        <v>3.4</v>
      </c>
      <c r="P9" s="12">
        <f>'BD tratado'!S25</f>
        <v>3.4</v>
      </c>
    </row>
    <row r="10" spans="1:16">
      <c r="A10" s="34" t="str">
        <f>'BD tratado'!A26</f>
        <v>D.C. Subescapular</v>
      </c>
      <c r="B10" s="147">
        <f>'BD tratado'!E26</f>
        <v>29</v>
      </c>
      <c r="C10" s="147">
        <f>'BD tratado'!F26</f>
        <v>17.2</v>
      </c>
      <c r="D10" s="147">
        <f>'BD tratado'!G26</f>
        <v>10.3</v>
      </c>
      <c r="E10" s="147">
        <f>'BD tratado'!H26</f>
        <v>9.1999999999999993</v>
      </c>
      <c r="F10" s="147">
        <f>'BD tratado'!I26</f>
        <v>13</v>
      </c>
      <c r="G10" s="147">
        <f>'BD tratado'!J26</f>
        <v>10.4</v>
      </c>
      <c r="H10" s="147">
        <f>'BD tratado'!K26</f>
        <v>10.4</v>
      </c>
      <c r="I10" s="147">
        <f>'BD tratado'!L26</f>
        <v>15.1</v>
      </c>
      <c r="J10" s="147">
        <f>'BD tratado'!M26</f>
        <v>14.1</v>
      </c>
      <c r="K10" s="147">
        <f>'BD tratado'!N26</f>
        <v>12.4</v>
      </c>
      <c r="L10" s="147">
        <f>'BD tratado'!O26</f>
        <v>11</v>
      </c>
      <c r="M10" s="147">
        <f>'BD tratado'!P26</f>
        <v>12.4</v>
      </c>
      <c r="N10" s="12">
        <f>'BD tratado'!Q26</f>
        <v>12.4</v>
      </c>
      <c r="O10" s="12">
        <f>'BD tratado'!R26</f>
        <v>12.4</v>
      </c>
      <c r="P10" s="12">
        <f>'BD tratado'!S26</f>
        <v>12.4</v>
      </c>
    </row>
    <row r="11" spans="1:16">
      <c r="A11" s="34" t="str">
        <f>'BD tratado'!A27</f>
        <v>D.C. Suprailíaca</v>
      </c>
      <c r="B11" s="147">
        <f>'BD tratado'!E27</f>
        <v>11.4</v>
      </c>
      <c r="C11" s="147">
        <f>'BD tratado'!F27</f>
        <v>4.5</v>
      </c>
      <c r="D11" s="147">
        <f>'BD tratado'!G27</f>
        <v>4.0999999999999996</v>
      </c>
      <c r="E11" s="147">
        <f>'BD tratado'!H27</f>
        <v>3.9</v>
      </c>
      <c r="F11" s="147">
        <f>'BD tratado'!I27</f>
        <v>4.5</v>
      </c>
      <c r="G11" s="147">
        <f>'BD tratado'!J27</f>
        <v>3.9</v>
      </c>
      <c r="H11" s="147">
        <f>'BD tratado'!K27</f>
        <v>3.8</v>
      </c>
      <c r="I11" s="147">
        <f>'BD tratado'!L27</f>
        <v>4.8</v>
      </c>
      <c r="J11" s="147">
        <f>'BD tratado'!M27</f>
        <v>4.5999999999999996</v>
      </c>
      <c r="K11" s="147">
        <f>'BD tratado'!N27</f>
        <v>4.3</v>
      </c>
      <c r="L11" s="147">
        <f>'BD tratado'!O27</f>
        <v>4.2</v>
      </c>
      <c r="M11" s="147">
        <f>'BD tratado'!P27</f>
        <v>4</v>
      </c>
      <c r="N11" s="12">
        <f>'BD tratado'!Q27</f>
        <v>4</v>
      </c>
      <c r="O11" s="12">
        <f>'BD tratado'!R27</f>
        <v>4</v>
      </c>
      <c r="P11" s="12">
        <f>'BD tratado'!S27</f>
        <v>4</v>
      </c>
    </row>
    <row r="12" spans="1:16">
      <c r="A12" s="34" t="str">
        <f>'BD tratado'!A28</f>
        <v>D.C. Abdominal</v>
      </c>
      <c r="B12" s="147">
        <f>'BD tratado'!E28</f>
        <v>32</v>
      </c>
      <c r="C12" s="147">
        <f>'BD tratado'!F28</f>
        <v>13.6</v>
      </c>
      <c r="D12" s="147">
        <f>'BD tratado'!G28</f>
        <v>9.6</v>
      </c>
      <c r="E12" s="147">
        <f>'BD tratado'!H28</f>
        <v>9</v>
      </c>
      <c r="F12" s="147">
        <f>'BD tratado'!I28</f>
        <v>13.1</v>
      </c>
      <c r="G12" s="147">
        <f>'BD tratado'!J28</f>
        <v>8</v>
      </c>
      <c r="H12" s="147">
        <f>'BD tratado'!K28</f>
        <v>8.5</v>
      </c>
      <c r="I12" s="147">
        <f>'BD tratado'!L28</f>
        <v>13</v>
      </c>
      <c r="J12" s="147">
        <f>'BD tratado'!M28</f>
        <v>12.7</v>
      </c>
      <c r="K12" s="147">
        <f>'BD tratado'!N28</f>
        <v>12.8</v>
      </c>
      <c r="L12" s="147">
        <f>'BD tratado'!O28</f>
        <v>9.9</v>
      </c>
      <c r="M12" s="147">
        <f>'BD tratado'!P28</f>
        <v>9.4</v>
      </c>
      <c r="N12" s="12">
        <f>'BD tratado'!Q28</f>
        <v>9.4</v>
      </c>
      <c r="O12" s="12">
        <f>'BD tratado'!R28</f>
        <v>9.4</v>
      </c>
      <c r="P12" s="12">
        <f>'BD tratado'!S28</f>
        <v>9.4</v>
      </c>
    </row>
    <row r="13" spans="1:16">
      <c r="A13" s="34" t="str">
        <f>'BD tratado'!A29</f>
        <v>D.C. Coxa</v>
      </c>
      <c r="B13" s="147">
        <f>'BD tratado'!E29</f>
        <v>7.7</v>
      </c>
      <c r="C13" s="147">
        <f>'BD tratado'!F29</f>
        <v>5.7</v>
      </c>
      <c r="D13" s="147">
        <f>'BD tratado'!G29</f>
        <v>4</v>
      </c>
      <c r="E13" s="147">
        <f>'BD tratado'!H29</f>
        <v>4.2</v>
      </c>
      <c r="F13" s="147">
        <f>'BD tratado'!I29</f>
        <v>4.8</v>
      </c>
      <c r="G13" s="147">
        <f>'BD tratado'!J29</f>
        <v>4.7</v>
      </c>
      <c r="H13" s="147">
        <f>'BD tratado'!K29</f>
        <v>3.5</v>
      </c>
      <c r="I13" s="147">
        <f>'BD tratado'!L29</f>
        <v>4.9000000000000004</v>
      </c>
      <c r="J13" s="147">
        <f>'BD tratado'!M29</f>
        <v>4.7</v>
      </c>
      <c r="K13" s="147">
        <f>'BD tratado'!N29</f>
        <v>5</v>
      </c>
      <c r="L13" s="147">
        <f>'BD tratado'!O29</f>
        <v>4.8</v>
      </c>
      <c r="M13" s="147">
        <f>'BD tratado'!P29</f>
        <v>4.2</v>
      </c>
      <c r="N13" s="12">
        <f>'BD tratado'!Q29</f>
        <v>4.2</v>
      </c>
      <c r="O13" s="12">
        <f>'BD tratado'!R29</f>
        <v>4.2</v>
      </c>
      <c r="P13" s="12">
        <f>'BD tratado'!S29</f>
        <v>4.2</v>
      </c>
    </row>
    <row r="14" spans="1:16">
      <c r="B14" s="12"/>
      <c r="C14" s="12"/>
      <c r="D14" s="12"/>
      <c r="E14" s="12"/>
      <c r="F14" s="12"/>
      <c r="G14" s="12"/>
      <c r="H14" s="12"/>
      <c r="I14" s="12"/>
      <c r="J14" s="12"/>
      <c r="K14" s="12"/>
      <c r="L14" s="12"/>
      <c r="M14" s="12"/>
      <c r="N14" s="12"/>
      <c r="O14" s="12"/>
      <c r="P14" s="12"/>
    </row>
    <row r="16" spans="1:16">
      <c r="A16" s="34">
        <f>'BD tratado'!A106</f>
        <v>0</v>
      </c>
      <c r="B16" s="12" t="str">
        <f t="shared" ref="B16:P16" si="1">B$1</f>
        <v>Av1</v>
      </c>
      <c r="C16" s="12" t="str">
        <f t="shared" si="1"/>
        <v>Av2</v>
      </c>
      <c r="D16" s="12" t="str">
        <f t="shared" si="1"/>
        <v>Av3</v>
      </c>
      <c r="E16" s="12" t="str">
        <f t="shared" si="1"/>
        <v>Av4</v>
      </c>
      <c r="F16" s="12" t="str">
        <f t="shared" si="1"/>
        <v>Av5</v>
      </c>
      <c r="G16" s="12" t="str">
        <f t="shared" si="1"/>
        <v>Av6</v>
      </c>
      <c r="H16" s="12" t="str">
        <f t="shared" si="1"/>
        <v>Av7</v>
      </c>
      <c r="I16" s="12" t="str">
        <f t="shared" si="1"/>
        <v>Av8</v>
      </c>
      <c r="J16" s="12" t="str">
        <f t="shared" si="1"/>
        <v>Av9</v>
      </c>
      <c r="K16" s="12" t="str">
        <f t="shared" si="1"/>
        <v>Av10</v>
      </c>
      <c r="L16" s="12" t="str">
        <f t="shared" si="1"/>
        <v>Av11</v>
      </c>
      <c r="M16" s="12" t="str">
        <f t="shared" si="1"/>
        <v>Av12</v>
      </c>
      <c r="N16" s="12" t="str">
        <f t="shared" si="1"/>
        <v>Av13</v>
      </c>
      <c r="O16" s="12" t="str">
        <f t="shared" si="1"/>
        <v>Av14</v>
      </c>
      <c r="P16" s="12" t="str">
        <f t="shared" si="1"/>
        <v>Av15</v>
      </c>
    </row>
    <row r="17" spans="1:16">
      <c r="A17" s="34" t="str">
        <f>'BD tratado'!A107</f>
        <v>G. Perna Direita</v>
      </c>
      <c r="B17" s="147">
        <f>'BD tratado'!E107</f>
        <v>3.3</v>
      </c>
      <c r="C17" s="147">
        <f>'BD tratado'!F107</f>
        <v>2</v>
      </c>
      <c r="D17" s="147">
        <f>'BD tratado'!G107</f>
        <v>1.4</v>
      </c>
      <c r="E17" s="147">
        <f>'BD tratado'!H107</f>
        <v>1.1000000000000001</v>
      </c>
      <c r="F17" s="147">
        <f>'BD tratado'!I107</f>
        <v>1.5</v>
      </c>
      <c r="G17" s="147">
        <f>'BD tratado'!J107</f>
        <v>1.3</v>
      </c>
      <c r="H17" s="147">
        <f>'BD tratado'!K107</f>
        <v>1.1499999999999999</v>
      </c>
      <c r="I17" s="147">
        <f>'BD tratado'!L107</f>
        <v>1.1499999999999999</v>
      </c>
      <c r="J17" s="147">
        <f>'BD tratado'!M107</f>
        <v>1.5</v>
      </c>
      <c r="K17" s="147">
        <f>'BD tratado'!N107</f>
        <v>1.5</v>
      </c>
      <c r="L17" s="147">
        <f>'BD tratado'!O107</f>
        <v>1.3</v>
      </c>
      <c r="M17" s="147">
        <f>'BD tratado'!P107</f>
        <v>1.5</v>
      </c>
      <c r="N17" s="147">
        <f>'BD tratado'!Q107</f>
        <v>1.5</v>
      </c>
      <c r="O17" s="147">
        <f>'BD tratado'!R107</f>
        <v>1.5</v>
      </c>
      <c r="P17" s="147">
        <f>'BD tratado'!S107</f>
        <v>1.5</v>
      </c>
    </row>
    <row r="18" spans="1:16">
      <c r="A18" s="34" t="str">
        <f>'BD tratado'!A108</f>
        <v>G. Perna Esquerda</v>
      </c>
      <c r="B18" s="147">
        <f>'BD tratado'!E108</f>
        <v>3.3</v>
      </c>
      <c r="C18" s="147">
        <f>'BD tratado'!F108</f>
        <v>2</v>
      </c>
      <c r="D18" s="147">
        <f>'BD tratado'!G108</f>
        <v>1.4</v>
      </c>
      <c r="E18" s="147">
        <f>'BD tratado'!H108</f>
        <v>1.1000000000000001</v>
      </c>
      <c r="F18" s="147">
        <f>'BD tratado'!I108</f>
        <v>1.5</v>
      </c>
      <c r="G18" s="147">
        <f>'BD tratado'!J108</f>
        <v>1.3</v>
      </c>
      <c r="H18" s="147">
        <f>'BD tratado'!K108</f>
        <v>1.05</v>
      </c>
      <c r="I18" s="147">
        <f>'BD tratado'!L108</f>
        <v>1.05</v>
      </c>
      <c r="J18" s="147">
        <f>'BD tratado'!M108</f>
        <v>1.5</v>
      </c>
      <c r="K18" s="147">
        <f>'BD tratado'!N108</f>
        <v>1.5</v>
      </c>
      <c r="L18" s="147">
        <f>'BD tratado'!O108</f>
        <v>1.4</v>
      </c>
      <c r="M18" s="147">
        <f>'BD tratado'!P108</f>
        <v>1.55</v>
      </c>
      <c r="N18" s="147">
        <f>'BD tratado'!Q108</f>
        <v>1.55</v>
      </c>
      <c r="O18" s="147">
        <f>'BD tratado'!R108</f>
        <v>1.55</v>
      </c>
      <c r="P18" s="147">
        <f>'BD tratado'!S108</f>
        <v>1.55</v>
      </c>
    </row>
    <row r="19" spans="1:16">
      <c r="A19" s="34" t="str">
        <f>'BD tratado'!A109</f>
        <v>G. Braço Direito</v>
      </c>
      <c r="B19" s="147">
        <f>'BD tratado'!E109</f>
        <v>1.3</v>
      </c>
      <c r="C19" s="147">
        <f>'BD tratado'!F109</f>
        <v>0.6</v>
      </c>
      <c r="D19" s="147">
        <f>'BD tratado'!G109</f>
        <v>0.4</v>
      </c>
      <c r="E19" s="147">
        <f>'BD tratado'!H109</f>
        <v>0.2</v>
      </c>
      <c r="F19" s="147">
        <f>'BD tratado'!I109</f>
        <v>0.4</v>
      </c>
      <c r="G19" s="147">
        <f>'BD tratado'!J109</f>
        <v>0.3</v>
      </c>
      <c r="H19" s="147">
        <f>'BD tratado'!K109</f>
        <v>0.3</v>
      </c>
      <c r="I19" s="147">
        <f>'BD tratado'!L109</f>
        <v>0.35</v>
      </c>
      <c r="J19" s="147">
        <f>'BD tratado'!M109</f>
        <v>0.65</v>
      </c>
      <c r="K19" s="147">
        <f>'BD tratado'!N109</f>
        <v>0.65</v>
      </c>
      <c r="L19" s="147">
        <f>'BD tratado'!O109</f>
        <v>0.6</v>
      </c>
      <c r="M19" s="147">
        <f>'BD tratado'!P109</f>
        <v>0.7</v>
      </c>
      <c r="N19" s="147">
        <f>'BD tratado'!Q109</f>
        <v>0.7</v>
      </c>
      <c r="O19" s="147">
        <f>'BD tratado'!R109</f>
        <v>0.7</v>
      </c>
      <c r="P19" s="147">
        <f>'BD tratado'!S109</f>
        <v>0.7</v>
      </c>
    </row>
    <row r="20" spans="1:16">
      <c r="A20" s="34" t="str">
        <f>'BD tratado'!A110</f>
        <v>G. Braço Esquerdo</v>
      </c>
      <c r="B20" s="147">
        <f>'BD tratado'!E110</f>
        <v>1.3</v>
      </c>
      <c r="C20" s="147">
        <f>'BD tratado'!F110</f>
        <v>0.6</v>
      </c>
      <c r="D20" s="147">
        <f>'BD tratado'!G110</f>
        <v>0.4</v>
      </c>
      <c r="E20" s="147">
        <f>'BD tratado'!H110</f>
        <v>0.3</v>
      </c>
      <c r="F20" s="147">
        <f>'BD tratado'!I110</f>
        <v>0.4</v>
      </c>
      <c r="G20" s="147">
        <f>'BD tratado'!J110</f>
        <v>0.3</v>
      </c>
      <c r="H20" s="147">
        <f>'BD tratado'!K110</f>
        <v>0.3</v>
      </c>
      <c r="I20" s="147">
        <f>'BD tratado'!L110</f>
        <v>0.4</v>
      </c>
      <c r="J20" s="147">
        <f>'BD tratado'!M110</f>
        <v>0.65</v>
      </c>
      <c r="K20" s="147">
        <f>'BD tratado'!N110</f>
        <v>0.65</v>
      </c>
      <c r="L20" s="147">
        <f>'BD tratado'!O110</f>
        <v>0.65</v>
      </c>
      <c r="M20" s="147">
        <f>'BD tratado'!P110</f>
        <v>0.75</v>
      </c>
      <c r="N20" s="147">
        <f>'BD tratado'!Q110</f>
        <v>0.75</v>
      </c>
      <c r="O20" s="147">
        <f>'BD tratado'!R110</f>
        <v>0.75</v>
      </c>
      <c r="P20" s="147">
        <f>'BD tratado'!S110</f>
        <v>0.75</v>
      </c>
    </row>
    <row r="21" spans="1:16">
      <c r="A21" s="34" t="str">
        <f>'BD tratado'!A111</f>
        <v>G. Tronco</v>
      </c>
      <c r="B21" s="147">
        <f>'BD tratado'!E111</f>
        <v>10.5</v>
      </c>
      <c r="C21" s="147">
        <f>'BD tratado'!F111</f>
        <v>5.8</v>
      </c>
      <c r="D21" s="147">
        <f>'BD tratado'!G111</f>
        <v>3.4</v>
      </c>
      <c r="E21" s="147">
        <f>'BD tratado'!H111</f>
        <v>2.4</v>
      </c>
      <c r="F21" s="147">
        <f>'BD tratado'!I111</f>
        <v>3.9</v>
      </c>
      <c r="G21" s="147">
        <f>'BD tratado'!J111</f>
        <v>3.2</v>
      </c>
      <c r="H21" s="147">
        <f>'BD tratado'!K111</f>
        <v>3.2</v>
      </c>
      <c r="I21" s="147">
        <f>'BD tratado'!L111</f>
        <v>5.95</v>
      </c>
      <c r="J21" s="147">
        <f>'BD tratado'!M111</f>
        <v>7.3</v>
      </c>
      <c r="K21" s="147">
        <f>'BD tratado'!N111</f>
        <v>7.2</v>
      </c>
      <c r="L21" s="147">
        <f>'BD tratado'!O111</f>
        <v>6.95</v>
      </c>
      <c r="M21" s="147">
        <f>'BD tratado'!P111</f>
        <v>8.6</v>
      </c>
      <c r="N21" s="147">
        <f>'BD tratado'!Q111</f>
        <v>8.6</v>
      </c>
      <c r="O21" s="147">
        <f>'BD tratado'!R111</f>
        <v>8.6</v>
      </c>
      <c r="P21" s="147">
        <f>'BD tratado'!S111</f>
        <v>8.6</v>
      </c>
    </row>
    <row r="24" spans="1:16">
      <c r="B24" s="12" t="str">
        <f t="shared" ref="B24:P24" si="2">B$1</f>
        <v>Av1</v>
      </c>
      <c r="C24" s="12" t="str">
        <f t="shared" si="2"/>
        <v>Av2</v>
      </c>
      <c r="D24" s="12" t="str">
        <f t="shared" si="2"/>
        <v>Av3</v>
      </c>
      <c r="E24" s="12" t="str">
        <f t="shared" si="2"/>
        <v>Av4</v>
      </c>
      <c r="F24" s="12" t="str">
        <f t="shared" si="2"/>
        <v>Av5</v>
      </c>
      <c r="G24" s="12" t="str">
        <f t="shared" si="2"/>
        <v>Av6</v>
      </c>
      <c r="H24" s="12" t="str">
        <f t="shared" si="2"/>
        <v>Av7</v>
      </c>
      <c r="I24" s="12" t="str">
        <f t="shared" si="2"/>
        <v>Av8</v>
      </c>
      <c r="J24" s="12" t="str">
        <f t="shared" si="2"/>
        <v>Av9</v>
      </c>
      <c r="K24" s="12" t="str">
        <f t="shared" si="2"/>
        <v>Av10</v>
      </c>
      <c r="L24" s="12" t="str">
        <f t="shared" si="2"/>
        <v>Av11</v>
      </c>
      <c r="M24" s="12" t="str">
        <f t="shared" si="2"/>
        <v>Av12</v>
      </c>
      <c r="N24" s="12" t="str">
        <f t="shared" si="2"/>
        <v>Av13</v>
      </c>
      <c r="O24" s="12" t="str">
        <f t="shared" si="2"/>
        <v>Av14</v>
      </c>
      <c r="P24" s="12" t="str">
        <f t="shared" si="2"/>
        <v>Av15</v>
      </c>
    </row>
    <row r="25" spans="1:16">
      <c r="A25" s="34" t="str">
        <f>'BD tratado'!A101</f>
        <v>M. Perna Direita</v>
      </c>
      <c r="B25" s="147">
        <f>'BD tratado'!E101</f>
        <v>9.16</v>
      </c>
      <c r="C25" s="147">
        <f>'BD tratado'!F101</f>
        <v>9.1199999999999992</v>
      </c>
      <c r="D25" s="147">
        <f>'BD tratado'!G101</f>
        <v>8.86</v>
      </c>
      <c r="E25" s="147">
        <f>'BD tratado'!H101</f>
        <v>9.27</v>
      </c>
      <c r="F25" s="147">
        <f>'BD tratado'!I101</f>
        <v>9.5399999999999991</v>
      </c>
      <c r="G25" s="147">
        <f>'BD tratado'!J101</f>
        <v>9.74</v>
      </c>
      <c r="H25" s="147">
        <f>'BD tratado'!K101</f>
        <v>10.199999999999999</v>
      </c>
      <c r="I25" s="147">
        <f>'BD tratado'!L101</f>
        <v>10.199999999999999</v>
      </c>
      <c r="J25" s="147">
        <f>'BD tratado'!M101</f>
        <v>9.8000000000000007</v>
      </c>
      <c r="K25" s="147">
        <f>'BD tratado'!N101</f>
        <v>9.8000000000000007</v>
      </c>
      <c r="L25" s="147">
        <f>'BD tratado'!O101</f>
        <v>9.9</v>
      </c>
      <c r="M25" s="147">
        <f>'BD tratado'!P101</f>
        <v>10</v>
      </c>
      <c r="N25" s="147">
        <f>'BD tratado'!Q101</f>
        <v>10</v>
      </c>
      <c r="O25" s="147">
        <f>'BD tratado'!R101</f>
        <v>10</v>
      </c>
      <c r="P25" s="147">
        <f>'BD tratado'!S101</f>
        <v>10</v>
      </c>
    </row>
    <row r="26" spans="1:16">
      <c r="A26" s="34" t="str">
        <f>'BD tratado'!A102</f>
        <v>M. Perna Esquerda</v>
      </c>
      <c r="B26" s="147">
        <f>'BD tratado'!E102</f>
        <v>9.1300000000000008</v>
      </c>
      <c r="C26" s="147">
        <f>'BD tratado'!F102</f>
        <v>9.0399999999999991</v>
      </c>
      <c r="D26" s="147">
        <f>'BD tratado'!G102</f>
        <v>8.7899999999999991</v>
      </c>
      <c r="E26" s="147">
        <f>'BD tratado'!H102</f>
        <v>9.2100000000000009</v>
      </c>
      <c r="F26" s="147">
        <f>'BD tratado'!I102</f>
        <v>9.5299999999999994</v>
      </c>
      <c r="G26" s="147">
        <f>'BD tratado'!J102</f>
        <v>9.77</v>
      </c>
      <c r="H26" s="147">
        <f>'BD tratado'!K102</f>
        <v>10.199999999999999</v>
      </c>
      <c r="I26" s="147">
        <f>'BD tratado'!L102</f>
        <v>10.199999999999999</v>
      </c>
      <c r="J26" s="147">
        <f>'BD tratado'!M102</f>
        <v>9.8000000000000007</v>
      </c>
      <c r="K26" s="147">
        <f>'BD tratado'!N102</f>
        <v>9.8000000000000007</v>
      </c>
      <c r="L26" s="147">
        <f>'BD tratado'!O102</f>
        <v>9.9</v>
      </c>
      <c r="M26" s="147">
        <f>'BD tratado'!P102</f>
        <v>9.9</v>
      </c>
      <c r="N26" s="147">
        <f>'BD tratado'!Q102</f>
        <v>9.9</v>
      </c>
      <c r="O26" s="147">
        <f>'BD tratado'!R102</f>
        <v>9.9</v>
      </c>
      <c r="P26" s="147">
        <f>'BD tratado'!S102</f>
        <v>9.9</v>
      </c>
    </row>
    <row r="27" spans="1:16">
      <c r="A27" s="34" t="str">
        <f>'BD tratado'!A103</f>
        <v>M. Braço Direito</v>
      </c>
      <c r="B27" s="147">
        <f>'BD tratado'!E103</f>
        <v>2.88</v>
      </c>
      <c r="C27" s="147">
        <f>'BD tratado'!F103</f>
        <v>2.83</v>
      </c>
      <c r="D27" s="147">
        <f>'BD tratado'!G103</f>
        <v>2.78</v>
      </c>
      <c r="E27" s="147">
        <f>'BD tratado'!H103</f>
        <v>3.11</v>
      </c>
      <c r="F27" s="147">
        <f>'BD tratado'!I103</f>
        <v>3.06</v>
      </c>
      <c r="G27" s="147">
        <f>'BD tratado'!J103</f>
        <v>2.98</v>
      </c>
      <c r="H27" s="147">
        <f>'BD tratado'!K103</f>
        <v>3.2</v>
      </c>
      <c r="I27" s="147">
        <f>'BD tratado'!L103</f>
        <v>3.2</v>
      </c>
      <c r="J27" s="147">
        <f>'BD tratado'!M103</f>
        <v>3.1</v>
      </c>
      <c r="K27" s="147">
        <f>'BD tratado'!N103</f>
        <v>3.1</v>
      </c>
      <c r="L27" s="147">
        <f>'BD tratado'!O103</f>
        <v>3.1</v>
      </c>
      <c r="M27" s="147">
        <f>'BD tratado'!P103</f>
        <v>3</v>
      </c>
      <c r="N27" s="147">
        <f>'BD tratado'!Q103</f>
        <v>3</v>
      </c>
      <c r="O27" s="147">
        <f>'BD tratado'!R103</f>
        <v>3</v>
      </c>
      <c r="P27" s="147">
        <f>'BD tratado'!S103</f>
        <v>3</v>
      </c>
    </row>
    <row r="28" spans="1:16">
      <c r="A28" s="34" t="str">
        <f>'BD tratado'!A104</f>
        <v>M. Braço Esquerdo</v>
      </c>
      <c r="B28" s="147">
        <f>'BD tratado'!E104</f>
        <v>2.76</v>
      </c>
      <c r="C28" s="147">
        <f>'BD tratado'!F104</f>
        <v>2.79</v>
      </c>
      <c r="D28" s="147">
        <f>'BD tratado'!G104</f>
        <v>2.75</v>
      </c>
      <c r="E28" s="147">
        <f>'BD tratado'!H104</f>
        <v>2.98</v>
      </c>
      <c r="F28" s="147">
        <f>'BD tratado'!I104</f>
        <v>2.98</v>
      </c>
      <c r="G28" s="147">
        <f>'BD tratado'!J104</f>
        <v>2.97</v>
      </c>
      <c r="H28" s="147">
        <f>'BD tratado'!K104</f>
        <v>3.2</v>
      </c>
      <c r="I28" s="147">
        <f>'BD tratado'!L104</f>
        <v>3.2</v>
      </c>
      <c r="J28" s="147">
        <f>'BD tratado'!M104</f>
        <v>3.1</v>
      </c>
      <c r="K28" s="147">
        <f>'BD tratado'!N104</f>
        <v>3.1</v>
      </c>
      <c r="L28" s="147">
        <f>'BD tratado'!O104</f>
        <v>3.1</v>
      </c>
      <c r="M28" s="147">
        <f>'BD tratado'!P104</f>
        <v>3</v>
      </c>
      <c r="N28" s="147">
        <f>'BD tratado'!Q104</f>
        <v>3</v>
      </c>
      <c r="O28" s="147">
        <f>'BD tratado'!R104</f>
        <v>3</v>
      </c>
      <c r="P28" s="147">
        <f>'BD tratado'!S104</f>
        <v>3</v>
      </c>
    </row>
    <row r="29" spans="1:16">
      <c r="A29" s="34" t="str">
        <f>'BD tratado'!A105</f>
        <v>M. Tronco</v>
      </c>
      <c r="B29" s="147">
        <f>'BD tratado'!E105</f>
        <v>23.9</v>
      </c>
      <c r="C29" s="147">
        <f>'BD tratado'!F105</f>
        <v>23.5</v>
      </c>
      <c r="D29" s="147">
        <f>'BD tratado'!G105</f>
        <v>23.1</v>
      </c>
      <c r="E29" s="147">
        <f>'BD tratado'!H105</f>
        <v>24.7</v>
      </c>
      <c r="F29" s="147">
        <f>'BD tratado'!I105</f>
        <v>24.6</v>
      </c>
      <c r="G29" s="147">
        <f>'BD tratado'!J105</f>
        <v>24.3</v>
      </c>
      <c r="H29" s="147">
        <f>'BD tratado'!K105</f>
        <v>31.9</v>
      </c>
      <c r="I29" s="147">
        <f>'BD tratado'!L105</f>
        <v>31.9</v>
      </c>
      <c r="J29" s="147">
        <f>'BD tratado'!M105</f>
        <v>31.7</v>
      </c>
      <c r="K29" s="147">
        <f>'BD tratado'!N105</f>
        <v>31.9</v>
      </c>
      <c r="L29" s="147">
        <f>'BD tratado'!O105</f>
        <v>31.9</v>
      </c>
      <c r="M29" s="147">
        <f>'BD tratado'!P105</f>
        <v>31.2</v>
      </c>
      <c r="N29" s="147">
        <f>'BD tratado'!Q105</f>
        <v>31.2</v>
      </c>
      <c r="O29" s="147">
        <f>'BD tratado'!R105</f>
        <v>31.2</v>
      </c>
      <c r="P29" s="147">
        <f>'BD tratado'!S105</f>
        <v>31.2</v>
      </c>
    </row>
    <row r="32" spans="1:16">
      <c r="B32" s="12" t="str">
        <f t="shared" ref="B32:P32" si="3">B$1</f>
        <v>Av1</v>
      </c>
      <c r="C32" s="12" t="str">
        <f t="shared" si="3"/>
        <v>Av2</v>
      </c>
      <c r="D32" s="12" t="str">
        <f t="shared" si="3"/>
        <v>Av3</v>
      </c>
      <c r="E32" s="12" t="str">
        <f t="shared" si="3"/>
        <v>Av4</v>
      </c>
      <c r="F32" s="12" t="str">
        <f t="shared" si="3"/>
        <v>Av5</v>
      </c>
      <c r="G32" s="12" t="str">
        <f t="shared" si="3"/>
        <v>Av6</v>
      </c>
      <c r="H32" s="12" t="str">
        <f t="shared" si="3"/>
        <v>Av7</v>
      </c>
      <c r="I32" s="12" t="str">
        <f t="shared" si="3"/>
        <v>Av8</v>
      </c>
      <c r="J32" s="12" t="str">
        <f t="shared" si="3"/>
        <v>Av9</v>
      </c>
      <c r="K32" s="12" t="str">
        <f t="shared" si="3"/>
        <v>Av10</v>
      </c>
      <c r="L32" s="12" t="str">
        <f t="shared" si="3"/>
        <v>Av11</v>
      </c>
      <c r="M32" s="12" t="str">
        <f t="shared" si="3"/>
        <v>Av12</v>
      </c>
      <c r="N32" s="12" t="str">
        <f t="shared" si="3"/>
        <v>Av13</v>
      </c>
      <c r="O32" s="12" t="str">
        <f t="shared" si="3"/>
        <v>Av14</v>
      </c>
      <c r="P32" s="12" t="str">
        <f t="shared" si="3"/>
        <v>Av15</v>
      </c>
    </row>
    <row r="33" spans="1:16">
      <c r="A33" s="34" t="str">
        <f>'BD tratado'!A46</f>
        <v>Músculos Anteriores do Braço(mm)</v>
      </c>
      <c r="B33" s="147">
        <f>'BD tratado'!E46</f>
        <v>30.7</v>
      </c>
      <c r="C33" s="147">
        <f>'BD tratado'!F46</f>
        <v>33.299999999999997</v>
      </c>
      <c r="D33" s="147">
        <f>'BD tratado'!G46</f>
        <v>26.1</v>
      </c>
      <c r="E33" s="147">
        <f>'BD tratado'!H46</f>
        <v>31.5</v>
      </c>
      <c r="F33" s="147">
        <f>'BD tratado'!I46</f>
        <v>36.6</v>
      </c>
      <c r="G33" s="147">
        <f>'BD tratado'!J46</f>
        <v>36.6</v>
      </c>
      <c r="H33" s="147">
        <f>'BD tratado'!K46</f>
        <v>31.6</v>
      </c>
      <c r="I33" s="147">
        <f>'BD tratado'!L46</f>
        <v>33</v>
      </c>
      <c r="J33" s="147">
        <f>'BD tratado'!M46</f>
        <v>33</v>
      </c>
      <c r="K33" s="147">
        <f>'BD tratado'!N46</f>
        <v>35.200000000000003</v>
      </c>
      <c r="L33" s="147">
        <f>'BD tratado'!O46</f>
        <v>35.200000000000003</v>
      </c>
      <c r="M33" s="147">
        <f>'BD tratado'!P46</f>
        <v>35.200000000000003</v>
      </c>
      <c r="N33" s="147">
        <f>'BD tratado'!Q46</f>
        <v>35.200000000000003</v>
      </c>
      <c r="O33" s="147">
        <f>'BD tratado'!R46</f>
        <v>35.200000000000003</v>
      </c>
      <c r="P33" s="147">
        <f>'BD tratado'!S46</f>
        <v>35.200000000000003</v>
      </c>
    </row>
    <row r="34" spans="1:16">
      <c r="A34" s="34" t="str">
        <f>'BD tratado'!A50</f>
        <v>Músculos Posteriores do Braço(mm)</v>
      </c>
      <c r="B34" s="147">
        <f>'BD tratado'!E50</f>
        <v>31.7</v>
      </c>
      <c r="C34" s="147">
        <f>'BD tratado'!F50</f>
        <v>37.200000000000003</v>
      </c>
      <c r="D34" s="147">
        <f>'BD tratado'!G50</f>
        <v>39</v>
      </c>
      <c r="E34" s="147">
        <f>'BD tratado'!H50</f>
        <v>39.1</v>
      </c>
      <c r="F34" s="147">
        <f>'BD tratado'!I50</f>
        <v>42.1</v>
      </c>
      <c r="G34" s="147">
        <f>'BD tratado'!J50</f>
        <v>42.1</v>
      </c>
      <c r="H34" s="147">
        <f>'BD tratado'!K50</f>
        <v>37.200000000000003</v>
      </c>
      <c r="I34" s="147">
        <f>'BD tratado'!L50</f>
        <v>41.1</v>
      </c>
      <c r="J34" s="147">
        <f>'BD tratado'!M50</f>
        <v>41.1</v>
      </c>
      <c r="K34" s="147">
        <f>'BD tratado'!N50</f>
        <v>46.5</v>
      </c>
      <c r="L34" s="147">
        <f>'BD tratado'!O50</f>
        <v>46.5</v>
      </c>
      <c r="M34" s="147">
        <f>'BD tratado'!P50</f>
        <v>46.5</v>
      </c>
      <c r="N34" s="147">
        <f>'BD tratado'!Q50</f>
        <v>46.5</v>
      </c>
      <c r="O34" s="147">
        <f>'BD tratado'!R50</f>
        <v>46.5</v>
      </c>
      <c r="P34" s="147">
        <f>'BD tratado'!S50</f>
        <v>46.5</v>
      </c>
    </row>
    <row r="35" spans="1:16">
      <c r="A35" s="34" t="str">
        <f>'BD tratado'!A54</f>
        <v>Músculo Reto Femoral (mm)</v>
      </c>
      <c r="B35" s="147">
        <f>'BD tratado'!E54</f>
        <v>25.5</v>
      </c>
      <c r="C35" s="147">
        <f>'BD tratado'!F54</f>
        <v>25.5</v>
      </c>
      <c r="D35" s="147">
        <f>'BD tratado'!G54</f>
        <v>21.4</v>
      </c>
      <c r="E35" s="147">
        <f>'BD tratado'!H54</f>
        <v>23.5</v>
      </c>
      <c r="F35" s="147">
        <f>'BD tratado'!I54</f>
        <v>27.3</v>
      </c>
      <c r="G35" s="147">
        <f>'BD tratado'!J54</f>
        <v>27.3</v>
      </c>
      <c r="H35" s="147">
        <f>'BD tratado'!K54</f>
        <v>21.6</v>
      </c>
      <c r="I35" s="147">
        <f>'BD tratado'!L54</f>
        <v>29.6</v>
      </c>
      <c r="J35" s="147">
        <f>'BD tratado'!M54</f>
        <v>29.6</v>
      </c>
      <c r="K35" s="147">
        <f>'BD tratado'!N54</f>
        <v>30.6</v>
      </c>
      <c r="L35" s="147">
        <f>'BD tratado'!O54</f>
        <v>30.6</v>
      </c>
      <c r="M35" s="147">
        <f>'BD tratado'!P54</f>
        <v>30.6</v>
      </c>
      <c r="N35" s="147">
        <f>'BD tratado'!Q54</f>
        <v>30.6</v>
      </c>
      <c r="O35" s="147">
        <f>'BD tratado'!R54</f>
        <v>30.6</v>
      </c>
      <c r="P35" s="147">
        <f>'BD tratado'!S54</f>
        <v>30.6</v>
      </c>
    </row>
    <row r="36" spans="1:16">
      <c r="A36" s="34" t="str">
        <f>'BD tratado'!A58</f>
        <v>Músculo Vasto Intermédio (mm)</v>
      </c>
      <c r="B36" s="147">
        <f>'BD tratado'!E58</f>
        <v>23.8</v>
      </c>
      <c r="C36" s="147">
        <f>'BD tratado'!F58</f>
        <v>23.7</v>
      </c>
      <c r="D36" s="147">
        <f>'BD tratado'!G58</f>
        <v>18.899999999999999</v>
      </c>
      <c r="E36" s="147">
        <f>'BD tratado'!H58</f>
        <v>18.899999999999999</v>
      </c>
      <c r="F36" s="147">
        <f>'BD tratado'!I58</f>
        <v>18.5</v>
      </c>
      <c r="G36" s="147">
        <f>'BD tratado'!J58</f>
        <v>18.5</v>
      </c>
      <c r="H36" s="147">
        <f>'BD tratado'!K58</f>
        <v>19.899999999999999</v>
      </c>
      <c r="I36" s="147">
        <f>'BD tratado'!L58</f>
        <v>20.3</v>
      </c>
      <c r="J36" s="147">
        <f>'BD tratado'!M58</f>
        <v>20.3</v>
      </c>
      <c r="K36" s="147">
        <f>'BD tratado'!N58</f>
        <v>24.7</v>
      </c>
      <c r="L36" s="147">
        <f>'BD tratado'!O58</f>
        <v>24.7</v>
      </c>
      <c r="M36" s="147">
        <f>'BD tratado'!P58</f>
        <v>24.7</v>
      </c>
      <c r="N36" s="147">
        <f>'BD tratado'!Q58</f>
        <v>24.7</v>
      </c>
      <c r="O36" s="147">
        <f>'BD tratado'!R58</f>
        <v>24.7</v>
      </c>
      <c r="P36" s="147">
        <f>'BD tratado'!S58</f>
        <v>24.7</v>
      </c>
    </row>
    <row r="37" spans="1:16">
      <c r="A37" s="34" t="str">
        <f>'BD tratado'!A59</f>
        <v>Músculos Anteriores da Coxa(mm)</v>
      </c>
      <c r="B37" s="147">
        <f>'BD tratado'!E59</f>
        <v>49.3</v>
      </c>
      <c r="C37" s="147">
        <f>'BD tratado'!F59</f>
        <v>49.2</v>
      </c>
      <c r="D37" s="147">
        <f>'BD tratado'!G59</f>
        <v>40.299999999999997</v>
      </c>
      <c r="E37" s="147">
        <f>'BD tratado'!H59</f>
        <v>42.4</v>
      </c>
      <c r="F37" s="147">
        <f>'BD tratado'!I59</f>
        <v>45.8</v>
      </c>
      <c r="G37" s="147" t="e">
        <f>'BD tratado'!J59</f>
        <v>#VALUE!</v>
      </c>
      <c r="H37" s="147">
        <f>'BD tratado'!K59</f>
        <v>41.5</v>
      </c>
      <c r="I37" s="147">
        <f>'BD tratado'!L59</f>
        <v>49.900000000000006</v>
      </c>
      <c r="J37" s="147" t="e">
        <f>'BD tratado'!M59</f>
        <v>#VALUE!</v>
      </c>
      <c r="K37" s="147">
        <f>'BD tratado'!N59</f>
        <v>55.3</v>
      </c>
      <c r="L37" s="147" t="e">
        <f>'BD tratado'!O59</f>
        <v>#VALUE!</v>
      </c>
      <c r="M37" s="147" t="e">
        <f>'BD tratado'!P59</f>
        <v>#VALUE!</v>
      </c>
      <c r="N37" s="147" t="e">
        <f>'BD tratado'!Q59</f>
        <v>#VALUE!</v>
      </c>
      <c r="O37" s="147" t="e">
        <f>'BD tratado'!R59</f>
        <v>#VALUE!</v>
      </c>
      <c r="P37" s="147" t="e">
        <f>'BD tratado'!S59</f>
        <v>#VALUE!</v>
      </c>
    </row>
    <row r="38" spans="1:16">
      <c r="B38" s="12"/>
      <c r="C38" s="12"/>
      <c r="D38" s="12"/>
      <c r="E38" s="12"/>
      <c r="F38" s="12"/>
      <c r="G38" s="12"/>
      <c r="H38" s="12"/>
      <c r="I38" s="12"/>
      <c r="J38" s="12"/>
      <c r="K38" s="12"/>
      <c r="L38" s="12"/>
      <c r="M38" s="12"/>
      <c r="N38" s="12"/>
      <c r="O38" s="12"/>
      <c r="P38" s="12"/>
    </row>
    <row r="39" spans="1:16">
      <c r="B39" s="12"/>
      <c r="C39" s="12"/>
      <c r="D39" s="12"/>
      <c r="E39" s="12"/>
      <c r="F39" s="12"/>
      <c r="G39" s="12"/>
      <c r="H39" s="12"/>
      <c r="I39" s="12"/>
      <c r="J39" s="12"/>
      <c r="K39" s="12"/>
      <c r="L39" s="12"/>
      <c r="M39" s="12"/>
      <c r="N39" s="12"/>
      <c r="O39" s="12"/>
      <c r="P39" s="12"/>
    </row>
    <row r="40" spans="1:16">
      <c r="B40" s="12" t="str">
        <f t="shared" ref="B40:P40" si="4">B$1</f>
        <v>Av1</v>
      </c>
      <c r="C40" s="12" t="str">
        <f t="shared" si="4"/>
        <v>Av2</v>
      </c>
      <c r="D40" s="12" t="str">
        <f t="shared" si="4"/>
        <v>Av3</v>
      </c>
      <c r="E40" s="12" t="str">
        <f t="shared" si="4"/>
        <v>Av4</v>
      </c>
      <c r="F40" s="12" t="str">
        <f t="shared" si="4"/>
        <v>Av5</v>
      </c>
      <c r="G40" s="12" t="str">
        <f t="shared" si="4"/>
        <v>Av6</v>
      </c>
      <c r="H40" s="12" t="str">
        <f t="shared" si="4"/>
        <v>Av7</v>
      </c>
      <c r="I40" s="12" t="str">
        <f t="shared" si="4"/>
        <v>Av8</v>
      </c>
      <c r="J40" s="12" t="str">
        <f t="shared" si="4"/>
        <v>Av9</v>
      </c>
      <c r="K40" s="12" t="str">
        <f t="shared" si="4"/>
        <v>Av10</v>
      </c>
      <c r="L40" s="12" t="str">
        <f t="shared" si="4"/>
        <v>Av11</v>
      </c>
      <c r="M40" s="12" t="str">
        <f t="shared" si="4"/>
        <v>Av12</v>
      </c>
      <c r="N40" s="12" t="str">
        <f t="shared" si="4"/>
        <v>Av13</v>
      </c>
      <c r="O40" s="12" t="str">
        <f t="shared" si="4"/>
        <v>Av14</v>
      </c>
      <c r="P40" s="12" t="str">
        <f t="shared" si="4"/>
        <v>Av15</v>
      </c>
    </row>
    <row r="41" spans="1:16">
      <c r="A41" s="34" t="str">
        <f>'BD tratado'!A64</f>
        <v>Gordura Abdominal Subcutânea Superficial(mm)</v>
      </c>
      <c r="B41" s="147">
        <f>'BD tratado'!E64</f>
        <v>18.899999999999999</v>
      </c>
      <c r="C41" s="147">
        <f>'BD tratado'!F64</f>
        <v>7.5</v>
      </c>
      <c r="D41" s="147">
        <f>'BD tratado'!G64</f>
        <v>4.3</v>
      </c>
      <c r="E41" s="147">
        <f>'BD tratado'!H64</f>
        <v>6.2</v>
      </c>
      <c r="F41" s="147">
        <f>'BD tratado'!I64</f>
        <v>6.4</v>
      </c>
      <c r="G41" s="147">
        <f>'BD tratado'!J64</f>
        <v>6.4</v>
      </c>
      <c r="H41" s="147">
        <f>'BD tratado'!K64</f>
        <v>5.7</v>
      </c>
      <c r="I41" s="147">
        <f>'BD tratado'!L64</f>
        <v>5</v>
      </c>
      <c r="J41" s="147">
        <f>'BD tratado'!M64</f>
        <v>5</v>
      </c>
      <c r="K41" s="147">
        <f>'BD tratado'!N64</f>
        <v>4</v>
      </c>
      <c r="L41" s="147">
        <f>'BD tratado'!O64</f>
        <v>4</v>
      </c>
      <c r="M41" s="147">
        <f>'BD tratado'!P64</f>
        <v>4</v>
      </c>
      <c r="N41" s="147">
        <f>'BD tratado'!Q64</f>
        <v>4</v>
      </c>
      <c r="O41" s="147">
        <f>'BD tratado'!R64</f>
        <v>4</v>
      </c>
      <c r="P41" s="147">
        <f>'BD tratado'!S64</f>
        <v>4</v>
      </c>
    </row>
    <row r="42" spans="1:16">
      <c r="A42" s="34" t="str">
        <f>'BD tratado'!A68</f>
        <v>Gordura Abdominal Subcutânea Profunda(mm)</v>
      </c>
      <c r="B42" s="147">
        <f>'BD tratado'!E68</f>
        <v>20.6</v>
      </c>
      <c r="C42" s="147">
        <f>'BD tratado'!F68</f>
        <v>10.8</v>
      </c>
      <c r="D42" s="147">
        <f>'BD tratado'!G68</f>
        <v>7.4</v>
      </c>
      <c r="E42" s="147">
        <f>'BD tratado'!H68</f>
        <v>4.2</v>
      </c>
      <c r="F42" s="147">
        <f>'BD tratado'!I68</f>
        <v>4.0999999999999996</v>
      </c>
      <c r="G42" s="147">
        <f>'BD tratado'!J68</f>
        <v>4.0999999999999996</v>
      </c>
      <c r="H42" s="147">
        <f>'BD tratado'!K68</f>
        <v>7.1</v>
      </c>
      <c r="I42" s="147">
        <f>'BD tratado'!L68</f>
        <v>6.6</v>
      </c>
      <c r="J42" s="147">
        <f>'BD tratado'!M68</f>
        <v>6.6</v>
      </c>
      <c r="K42" s="147">
        <f>'BD tratado'!N68</f>
        <v>4.0999999999999996</v>
      </c>
      <c r="L42" s="147">
        <f>'BD tratado'!O68</f>
        <v>4.0999999999999996</v>
      </c>
      <c r="M42" s="147">
        <f>'BD tratado'!P68</f>
        <v>4.0999999999999996</v>
      </c>
      <c r="N42" s="147">
        <f>'BD tratado'!Q68</f>
        <v>4.0999999999999996</v>
      </c>
      <c r="O42" s="147">
        <f>'BD tratado'!R68</f>
        <v>4.0999999999999996</v>
      </c>
      <c r="P42" s="147">
        <f>'BD tratado'!S68</f>
        <v>4.0999999999999996</v>
      </c>
    </row>
    <row r="43" spans="1:16">
      <c r="A43" s="34" t="str">
        <f>'BD tratado'!A69</f>
        <v>Gordura Abdominal Supra muscular total(mm)</v>
      </c>
      <c r="B43" s="147">
        <f>'BD tratado'!E69</f>
        <v>39.5</v>
      </c>
      <c r="C43" s="147">
        <f>'BD tratado'!F69</f>
        <v>18.3</v>
      </c>
      <c r="D43" s="147">
        <f>'BD tratado'!G69</f>
        <v>11.7</v>
      </c>
      <c r="E43" s="147">
        <f>'BD tratado'!H69</f>
        <v>10.4</v>
      </c>
      <c r="F43" s="147">
        <f>'BD tratado'!I69</f>
        <v>10.5</v>
      </c>
      <c r="G43" s="147" t="e">
        <f>'BD tratado'!J69</f>
        <v>#VALUE!</v>
      </c>
      <c r="H43" s="147">
        <f>'BD tratado'!K69</f>
        <v>12.8</v>
      </c>
      <c r="I43" s="147">
        <f>'BD tratado'!L69</f>
        <v>11.6</v>
      </c>
      <c r="J43" s="147" t="e">
        <f>'BD tratado'!M69</f>
        <v>#VALUE!</v>
      </c>
      <c r="K43" s="147">
        <f>'BD tratado'!N69</f>
        <v>8.1</v>
      </c>
      <c r="L43" s="147" t="e">
        <f>'BD tratado'!O69</f>
        <v>#VALUE!</v>
      </c>
      <c r="M43" s="147" t="e">
        <f>'BD tratado'!P69</f>
        <v>#VALUE!</v>
      </c>
      <c r="N43" s="147" t="e">
        <f>'BD tratado'!Q69</f>
        <v>#VALUE!</v>
      </c>
      <c r="O43" s="147" t="e">
        <f>'BD tratado'!R69</f>
        <v>#VALUE!</v>
      </c>
      <c r="P43" s="147" t="e">
        <f>'BD tratado'!S69</f>
        <v>#VALUE!</v>
      </c>
    </row>
    <row r="44" spans="1:16">
      <c r="A44" s="34" t="str">
        <f>'BD tratado'!A79</f>
        <v>Compartimento Anterior do Braço(mm)</v>
      </c>
      <c r="B44" s="147">
        <f>'BD tratado'!E79</f>
        <v>4.2</v>
      </c>
      <c r="C44" s="147">
        <f>'BD tratado'!F79</f>
        <v>3.5</v>
      </c>
      <c r="D44" s="147">
        <f>'BD tratado'!G79</f>
        <v>3.4</v>
      </c>
      <c r="E44" s="147">
        <f>'BD tratado'!H79</f>
        <v>4.5999999999999996</v>
      </c>
      <c r="F44" s="147">
        <f>'BD tratado'!I79</f>
        <v>4.4000000000000004</v>
      </c>
      <c r="G44" s="147">
        <f>'BD tratado'!J79</f>
        <v>4.4000000000000004</v>
      </c>
      <c r="H44" s="147">
        <f>'BD tratado'!K79</f>
        <v>1.6</v>
      </c>
      <c r="I44" s="147">
        <f>'BD tratado'!L79</f>
        <v>2.1</v>
      </c>
      <c r="J44" s="147">
        <f>'BD tratado'!M79</f>
        <v>2.1</v>
      </c>
      <c r="K44" s="147">
        <f>'BD tratado'!N79</f>
        <v>1.4</v>
      </c>
      <c r="L44" s="147">
        <f>'BD tratado'!O79</f>
        <v>1.4</v>
      </c>
      <c r="M44" s="147">
        <f>'BD tratado'!P79</f>
        <v>1.4</v>
      </c>
      <c r="N44" s="147">
        <f>'BD tratado'!Q79</f>
        <v>1.4</v>
      </c>
      <c r="O44" s="147">
        <f>'BD tratado'!R79</f>
        <v>1.4</v>
      </c>
      <c r="P44" s="147">
        <f>'BD tratado'!S79</f>
        <v>1.4</v>
      </c>
    </row>
    <row r="45" spans="1:16">
      <c r="A45" s="34" t="str">
        <f>'BD tratado'!A89</f>
        <v>Compartimento Posterior do Braço(mm)</v>
      </c>
      <c r="B45" s="147">
        <f>'BD tratado'!E89</f>
        <v>5.4</v>
      </c>
      <c r="C45" s="147">
        <f>'BD tratado'!F89</f>
        <v>6.3</v>
      </c>
      <c r="D45" s="147">
        <f>'BD tratado'!G89</f>
        <v>4</v>
      </c>
      <c r="E45" s="147">
        <f>'BD tratado'!H89</f>
        <v>4.3</v>
      </c>
      <c r="F45" s="147">
        <f>'BD tratado'!I89</f>
        <v>4</v>
      </c>
      <c r="G45" s="147">
        <f>'BD tratado'!J89</f>
        <v>4</v>
      </c>
      <c r="H45" s="147">
        <f>'BD tratado'!K89</f>
        <v>1.8</v>
      </c>
      <c r="I45" s="147">
        <f>'BD tratado'!L89</f>
        <v>3.2</v>
      </c>
      <c r="J45" s="147">
        <f>'BD tratado'!M89</f>
        <v>3.2</v>
      </c>
      <c r="K45" s="147">
        <f>'BD tratado'!N89</f>
        <v>2</v>
      </c>
      <c r="L45" s="147">
        <f>'BD tratado'!O89</f>
        <v>2</v>
      </c>
      <c r="M45" s="147">
        <f>'BD tratado'!P89</f>
        <v>2</v>
      </c>
      <c r="N45" s="147">
        <f>'BD tratado'!Q89</f>
        <v>2</v>
      </c>
      <c r="O45" s="147">
        <f>'BD tratado'!R89</f>
        <v>2</v>
      </c>
      <c r="P45" s="147">
        <f>'BD tratado'!S89</f>
        <v>2</v>
      </c>
    </row>
    <row r="46" spans="1:16">
      <c r="A46" s="34" t="str">
        <f>'BD tratado'!A99</f>
        <v>Compartimento Anterior da Coxa(mm)</v>
      </c>
      <c r="B46" s="147">
        <f>'BD tratado'!E99</f>
        <v>5.8</v>
      </c>
      <c r="C46" s="147">
        <f>'BD tratado'!F99</f>
        <v>5.5</v>
      </c>
      <c r="D46" s="147">
        <f>'BD tratado'!G99</f>
        <v>4.2</v>
      </c>
      <c r="E46" s="147">
        <f>'BD tratado'!H99</f>
        <v>3.6</v>
      </c>
      <c r="F46" s="147">
        <f>'BD tratado'!I99</f>
        <v>3.6</v>
      </c>
      <c r="G46" s="147">
        <f>'BD tratado'!J99</f>
        <v>3.6</v>
      </c>
      <c r="H46" s="147">
        <f>'BD tratado'!K99</f>
        <v>3.6</v>
      </c>
      <c r="I46" s="147">
        <f>'BD tratado'!L99</f>
        <v>3.9</v>
      </c>
      <c r="J46" s="147">
        <f>'BD tratado'!M99</f>
        <v>3.9</v>
      </c>
      <c r="K46" s="147">
        <f>'BD tratado'!N99</f>
        <v>3.6</v>
      </c>
      <c r="L46" s="147">
        <f>'BD tratado'!O99</f>
        <v>3.6</v>
      </c>
      <c r="M46" s="147">
        <f>'BD tratado'!P99</f>
        <v>3.6</v>
      </c>
      <c r="N46" s="147">
        <f>'BD tratado'!Q99</f>
        <v>3.6</v>
      </c>
      <c r="O46" s="147">
        <f>'BD tratado'!R99</f>
        <v>3.6</v>
      </c>
      <c r="P46" s="147">
        <f>'BD tratado'!S99</f>
        <v>3.6</v>
      </c>
    </row>
    <row r="47" spans="1:16">
      <c r="B47" s="12"/>
      <c r="C47" s="12"/>
      <c r="D47" s="12"/>
      <c r="E47" s="12"/>
      <c r="F47" s="12"/>
      <c r="G47" s="12"/>
      <c r="H47" s="12"/>
      <c r="I47" s="12"/>
      <c r="J47" s="12"/>
      <c r="K47" s="12"/>
      <c r="L47" s="12"/>
      <c r="M47" s="12"/>
      <c r="N47" s="12"/>
      <c r="O47" s="12"/>
      <c r="P47" s="12"/>
    </row>
    <row r="48" spans="1:16">
      <c r="B48" s="12"/>
      <c r="C48" s="12"/>
      <c r="D48" s="12"/>
      <c r="E48" s="12"/>
      <c r="F48" s="12"/>
      <c r="G48" s="12"/>
      <c r="H48" s="12"/>
      <c r="I48" s="12"/>
      <c r="J48" s="12"/>
      <c r="K48" s="12"/>
      <c r="L48" s="12"/>
      <c r="M48" s="12"/>
      <c r="N48" s="12"/>
      <c r="O48" s="12"/>
      <c r="P48" s="12"/>
    </row>
    <row r="49" spans="1:16">
      <c r="A49" s="106">
        <f>IF(Avaliação!$K$1="Feminino",5,0)</f>
        <v>0</v>
      </c>
      <c r="B49" s="12" t="str">
        <f t="shared" ref="B49:P49" si="5">B$1</f>
        <v>Av1</v>
      </c>
      <c r="C49" s="12" t="str">
        <f t="shared" si="5"/>
        <v>Av2</v>
      </c>
      <c r="D49" s="12" t="str">
        <f t="shared" si="5"/>
        <v>Av3</v>
      </c>
      <c r="E49" s="12" t="str">
        <f t="shared" si="5"/>
        <v>Av4</v>
      </c>
      <c r="F49" s="12" t="str">
        <f t="shared" si="5"/>
        <v>Av5</v>
      </c>
      <c r="G49" s="12" t="str">
        <f t="shared" si="5"/>
        <v>Av6</v>
      </c>
      <c r="H49" s="12" t="str">
        <f t="shared" si="5"/>
        <v>Av7</v>
      </c>
      <c r="I49" s="12" t="str">
        <f t="shared" si="5"/>
        <v>Av8</v>
      </c>
      <c r="J49" s="12" t="str">
        <f t="shared" si="5"/>
        <v>Av9</v>
      </c>
      <c r="K49" s="12" t="str">
        <f t="shared" si="5"/>
        <v>Av10</v>
      </c>
      <c r="L49" s="12" t="str">
        <f t="shared" si="5"/>
        <v>Av11</v>
      </c>
      <c r="M49" s="12" t="str">
        <f t="shared" si="5"/>
        <v>Av12</v>
      </c>
      <c r="N49" s="12" t="str">
        <f t="shared" si="5"/>
        <v>Av13</v>
      </c>
      <c r="O49" s="12" t="str">
        <f t="shared" si="5"/>
        <v>Av14</v>
      </c>
      <c r="P49" s="12" t="str">
        <f t="shared" si="5"/>
        <v>Av15</v>
      </c>
    </row>
    <row r="50" spans="1:16">
      <c r="A50" s="34" t="s">
        <v>471</v>
      </c>
      <c r="B50" s="148">
        <f ca="1">MAX(MAX($B$54:$P$54)*1.05,$B$51*1.1)</f>
        <v>1.1000000000000001</v>
      </c>
      <c r="C50" s="148">
        <f t="shared" ref="C50:P50" ca="1" si="6">IF(C49="","",$B$50)</f>
        <v>1.1000000000000001</v>
      </c>
      <c r="D50" s="148">
        <f t="shared" ca="1" si="6"/>
        <v>1.1000000000000001</v>
      </c>
      <c r="E50" s="148">
        <f t="shared" ca="1" si="6"/>
        <v>1.1000000000000001</v>
      </c>
      <c r="F50" s="148">
        <f t="shared" ca="1" si="6"/>
        <v>1.1000000000000001</v>
      </c>
      <c r="G50" s="148">
        <f t="shared" ca="1" si="6"/>
        <v>1.1000000000000001</v>
      </c>
      <c r="H50" s="148">
        <f t="shared" ca="1" si="6"/>
        <v>1.1000000000000001</v>
      </c>
      <c r="I50" s="148">
        <f t="shared" ca="1" si="6"/>
        <v>1.1000000000000001</v>
      </c>
      <c r="J50" s="148">
        <f t="shared" ca="1" si="6"/>
        <v>1.1000000000000001</v>
      </c>
      <c r="K50" s="148">
        <f t="shared" ca="1" si="6"/>
        <v>1.1000000000000001</v>
      </c>
      <c r="L50" s="148">
        <f t="shared" ca="1" si="6"/>
        <v>1.1000000000000001</v>
      </c>
      <c r="M50" s="148">
        <f t="shared" ca="1" si="6"/>
        <v>1.1000000000000001</v>
      </c>
      <c r="N50" s="148">
        <f t="shared" ca="1" si="6"/>
        <v>1.1000000000000001</v>
      </c>
      <c r="O50" s="148">
        <f t="shared" ca="1" si="6"/>
        <v>1.1000000000000001</v>
      </c>
      <c r="P50" s="148">
        <f t="shared" ca="1" si="6"/>
        <v>1.1000000000000001</v>
      </c>
    </row>
    <row r="51" spans="1:16">
      <c r="A51" s="34" t="s">
        <v>470</v>
      </c>
      <c r="B51" s="148">
        <f t="shared" ref="B51:P51" ca="1" si="7">OFFSET($D$59,B$58+$A$49,)</f>
        <v>1</v>
      </c>
      <c r="C51" s="148">
        <f t="shared" ca="1" si="7"/>
        <v>1.02</v>
      </c>
      <c r="D51" s="148">
        <f t="shared" ca="1" si="7"/>
        <v>1.02</v>
      </c>
      <c r="E51" s="148">
        <f t="shared" ca="1" si="7"/>
        <v>1.02</v>
      </c>
      <c r="F51" s="148">
        <f t="shared" ca="1" si="7"/>
        <v>1.02</v>
      </c>
      <c r="G51" s="148">
        <f t="shared" ca="1" si="7"/>
        <v>1.02</v>
      </c>
      <c r="H51" s="148">
        <f t="shared" ca="1" si="7"/>
        <v>1.02</v>
      </c>
      <c r="I51" s="148">
        <f t="shared" ca="1" si="7"/>
        <v>1.02</v>
      </c>
      <c r="J51" s="148">
        <f t="shared" ca="1" si="7"/>
        <v>1.02</v>
      </c>
      <c r="K51" s="148">
        <f t="shared" ca="1" si="7"/>
        <v>1.02</v>
      </c>
      <c r="L51" s="148">
        <f t="shared" ca="1" si="7"/>
        <v>1.02</v>
      </c>
      <c r="M51" s="148">
        <f t="shared" ca="1" si="7"/>
        <v>1.02</v>
      </c>
      <c r="N51" s="148" t="e">
        <f t="shared" ca="1" si="7"/>
        <v>#N/A</v>
      </c>
      <c r="O51" s="148" t="e">
        <f t="shared" ca="1" si="7"/>
        <v>#N/A</v>
      </c>
      <c r="P51" s="148" t="e">
        <f t="shared" ca="1" si="7"/>
        <v>#N/A</v>
      </c>
    </row>
    <row r="52" spans="1:16">
      <c r="A52" s="34" t="s">
        <v>435</v>
      </c>
      <c r="B52" s="148">
        <f t="shared" ref="B52:P52" ca="1" si="8">OFFSET($C$59,B$58+$A$49,)</f>
        <v>0.95</v>
      </c>
      <c r="C52" s="148">
        <f t="shared" ca="1" si="8"/>
        <v>0.96</v>
      </c>
      <c r="D52" s="148">
        <f t="shared" ca="1" si="8"/>
        <v>0.96</v>
      </c>
      <c r="E52" s="148">
        <f t="shared" ca="1" si="8"/>
        <v>0.96</v>
      </c>
      <c r="F52" s="148">
        <f t="shared" ca="1" si="8"/>
        <v>0.96</v>
      </c>
      <c r="G52" s="148">
        <f t="shared" ca="1" si="8"/>
        <v>0.96</v>
      </c>
      <c r="H52" s="148">
        <f t="shared" ca="1" si="8"/>
        <v>0.96</v>
      </c>
      <c r="I52" s="148">
        <f t="shared" ca="1" si="8"/>
        <v>0.96</v>
      </c>
      <c r="J52" s="148">
        <f t="shared" ca="1" si="8"/>
        <v>0.96</v>
      </c>
      <c r="K52" s="148">
        <f t="shared" ca="1" si="8"/>
        <v>0.96</v>
      </c>
      <c r="L52" s="148">
        <f t="shared" ca="1" si="8"/>
        <v>0.96</v>
      </c>
      <c r="M52" s="148">
        <f t="shared" ca="1" si="8"/>
        <v>0.96</v>
      </c>
      <c r="N52" s="148" t="e">
        <f t="shared" ca="1" si="8"/>
        <v>#N/A</v>
      </c>
      <c r="O52" s="148" t="e">
        <f t="shared" ca="1" si="8"/>
        <v>#N/A</v>
      </c>
      <c r="P52" s="148" t="e">
        <f t="shared" ca="1" si="8"/>
        <v>#N/A</v>
      </c>
    </row>
    <row r="53" spans="1:16">
      <c r="A53" s="34" t="s">
        <v>469</v>
      </c>
      <c r="B53" s="148">
        <f t="shared" ref="B53:P53" ca="1" si="9">OFFSET($B$59,B$58+$A$49,)</f>
        <v>0.88</v>
      </c>
      <c r="C53" s="148">
        <f t="shared" ca="1" si="9"/>
        <v>0.9</v>
      </c>
      <c r="D53" s="148">
        <f t="shared" ca="1" si="9"/>
        <v>0.9</v>
      </c>
      <c r="E53" s="148">
        <f t="shared" ca="1" si="9"/>
        <v>0.9</v>
      </c>
      <c r="F53" s="148">
        <f t="shared" ca="1" si="9"/>
        <v>0.9</v>
      </c>
      <c r="G53" s="148">
        <f t="shared" ca="1" si="9"/>
        <v>0.9</v>
      </c>
      <c r="H53" s="148">
        <f t="shared" ca="1" si="9"/>
        <v>0.9</v>
      </c>
      <c r="I53" s="148">
        <f t="shared" ca="1" si="9"/>
        <v>0.9</v>
      </c>
      <c r="J53" s="148">
        <f t="shared" ca="1" si="9"/>
        <v>0.9</v>
      </c>
      <c r="K53" s="148">
        <f t="shared" ca="1" si="9"/>
        <v>0.9</v>
      </c>
      <c r="L53" s="148">
        <f t="shared" ca="1" si="9"/>
        <v>0.9</v>
      </c>
      <c r="M53" s="148">
        <f t="shared" ca="1" si="9"/>
        <v>0.9</v>
      </c>
      <c r="N53" s="148" t="e">
        <f t="shared" ca="1" si="9"/>
        <v>#N/A</v>
      </c>
      <c r="O53" s="148" t="e">
        <f t="shared" ca="1" si="9"/>
        <v>#N/A</v>
      </c>
      <c r="P53" s="148" t="e">
        <f t="shared" ca="1" si="9"/>
        <v>#N/A</v>
      </c>
    </row>
    <row r="54" spans="1:16">
      <c r="A54" s="34" t="str">
        <f>'BD tratado'!A114</f>
        <v>Relação Abdome - Quadril</v>
      </c>
      <c r="B54" s="148">
        <f>'BD tratado'!E114</f>
        <v>0.94148936170212771</v>
      </c>
      <c r="C54" s="148">
        <f>'BD tratado'!F114</f>
        <v>0.8125</v>
      </c>
      <c r="D54" s="148">
        <f>'BD tratado'!G114</f>
        <v>0.86470588235294121</v>
      </c>
      <c r="E54" s="148">
        <f>'BD tratado'!H114</f>
        <v>0.86627906976744184</v>
      </c>
      <c r="F54" s="148">
        <f>'BD tratado'!I114</f>
        <v>0.87570621468926557</v>
      </c>
      <c r="G54" s="148">
        <f>'BD tratado'!J114</f>
        <v>0.86363636363636365</v>
      </c>
      <c r="H54" s="148">
        <f>'BD tratado'!K114</f>
        <v>0.8651685393258427</v>
      </c>
      <c r="I54" s="148">
        <f>'BD tratado'!L114</f>
        <v>0.87777777777777777</v>
      </c>
      <c r="J54" s="148">
        <f>'BD tratado'!M114</f>
        <v>0.8707865168539326</v>
      </c>
      <c r="K54" s="148">
        <f>'BD tratado'!N114</f>
        <v>0.88135593220338981</v>
      </c>
      <c r="L54" s="148">
        <f>'BD tratado'!O114</f>
        <v>0.8539325842696629</v>
      </c>
      <c r="M54" s="148">
        <f>'BD tratado'!P114</f>
        <v>0.8764044943820225</v>
      </c>
      <c r="N54" s="148">
        <f>'BD tratado'!Q114</f>
        <v>0.8764044943820225</v>
      </c>
      <c r="O54" s="148">
        <f>'BD tratado'!R114</f>
        <v>0.8764044943820225</v>
      </c>
      <c r="P54" s="148">
        <f>'BD tratado'!S114</f>
        <v>0.8764044943820225</v>
      </c>
    </row>
    <row r="56" spans="1:16">
      <c r="A56" s="34" t="s">
        <v>62</v>
      </c>
      <c r="B56" s="147">
        <f>'BD tratado'!E5</f>
        <v>49</v>
      </c>
      <c r="C56" s="147">
        <f>'BD tratado'!F5</f>
        <v>50</v>
      </c>
      <c r="D56" s="147">
        <f>'BD tratado'!G5</f>
        <v>50</v>
      </c>
      <c r="E56" s="147">
        <f>'BD tratado'!H5</f>
        <v>50</v>
      </c>
      <c r="F56" s="147">
        <f>'BD tratado'!I5</f>
        <v>51</v>
      </c>
      <c r="G56" s="147">
        <f>'BD tratado'!J5</f>
        <v>51</v>
      </c>
      <c r="H56" s="147">
        <f>'BD tratado'!K5</f>
        <v>52</v>
      </c>
      <c r="I56" s="147">
        <f>'BD tratado'!L5</f>
        <v>52</v>
      </c>
      <c r="J56" s="147">
        <f>'BD tratado'!M5</f>
        <v>53</v>
      </c>
      <c r="K56" s="147">
        <f>'BD tratado'!N5</f>
        <v>53</v>
      </c>
      <c r="L56" s="147">
        <f>'BD tratado'!O5</f>
        <v>53</v>
      </c>
      <c r="M56" s="147">
        <f>'BD tratado'!P5</f>
        <v>53</v>
      </c>
      <c r="N56" s="147" t="str">
        <f>'BD tratado'!Q5</f>
        <v/>
      </c>
      <c r="O56" s="147" t="str">
        <f>'BD tratado'!R5</f>
        <v/>
      </c>
      <c r="P56" s="147" t="str">
        <f>'BD tratado'!S5</f>
        <v/>
      </c>
    </row>
    <row r="57" spans="1:16">
      <c r="A57" s="34" t="s">
        <v>967</v>
      </c>
      <c r="B57" s="12" t="str">
        <f t="shared" ref="B57:P57" ca="1" si="10">OFFSET($A$71,MATCH(B54,B$71:B$74,1),)</f>
        <v>Moderado</v>
      </c>
      <c r="C57" s="12" t="str">
        <f t="shared" ca="1" si="10"/>
        <v>Baixo</v>
      </c>
      <c r="D57" s="12" t="str">
        <f t="shared" ca="1" si="10"/>
        <v>Baixo</v>
      </c>
      <c r="E57" s="12" t="str">
        <f t="shared" ca="1" si="10"/>
        <v>Baixo</v>
      </c>
      <c r="F57" s="12" t="str">
        <f t="shared" ca="1" si="10"/>
        <v>Baixo</v>
      </c>
      <c r="G57" s="12" t="str">
        <f t="shared" ca="1" si="10"/>
        <v>Baixo</v>
      </c>
      <c r="H57" s="12" t="str">
        <f t="shared" ca="1" si="10"/>
        <v>Baixo</v>
      </c>
      <c r="I57" s="12" t="str">
        <f t="shared" ca="1" si="10"/>
        <v>Baixo</v>
      </c>
      <c r="J57" s="12" t="str">
        <f t="shared" ca="1" si="10"/>
        <v>Baixo</v>
      </c>
      <c r="K57" s="12" t="str">
        <f t="shared" ca="1" si="10"/>
        <v>Baixo</v>
      </c>
      <c r="L57" s="12" t="str">
        <f t="shared" ca="1" si="10"/>
        <v>Baixo</v>
      </c>
      <c r="M57" s="12" t="str">
        <f t="shared" ca="1" si="10"/>
        <v>Baixo</v>
      </c>
      <c r="N57" s="12" t="str">
        <f t="shared" ca="1" si="10"/>
        <v>Baixo</v>
      </c>
      <c r="O57" s="12" t="str">
        <f t="shared" ca="1" si="10"/>
        <v>Baixo</v>
      </c>
      <c r="P57" s="12" t="str">
        <f t="shared" ca="1" si="10"/>
        <v>Baixo</v>
      </c>
    </row>
    <row r="58" spans="1:16">
      <c r="A58" s="34" t="s">
        <v>968</v>
      </c>
      <c r="B58" s="12">
        <f t="shared" ref="B58:P58" si="11">MATCH(B$56,$A$59:$A$63,1)</f>
        <v>3</v>
      </c>
      <c r="C58" s="12">
        <f t="shared" si="11"/>
        <v>4</v>
      </c>
      <c r="D58" s="12">
        <f t="shared" si="11"/>
        <v>4</v>
      </c>
      <c r="E58" s="12">
        <f t="shared" si="11"/>
        <v>4</v>
      </c>
      <c r="F58" s="12">
        <f t="shared" si="11"/>
        <v>4</v>
      </c>
      <c r="G58" s="12">
        <f t="shared" si="11"/>
        <v>4</v>
      </c>
      <c r="H58" s="12">
        <f t="shared" si="11"/>
        <v>4</v>
      </c>
      <c r="I58" s="12">
        <f t="shared" si="11"/>
        <v>4</v>
      </c>
      <c r="J58" s="12">
        <f t="shared" si="11"/>
        <v>4</v>
      </c>
      <c r="K58" s="12">
        <f t="shared" si="11"/>
        <v>4</v>
      </c>
      <c r="L58" s="12">
        <f t="shared" si="11"/>
        <v>4</v>
      </c>
      <c r="M58" s="12">
        <f t="shared" si="11"/>
        <v>4</v>
      </c>
      <c r="N58" s="12" t="e">
        <f t="shared" si="11"/>
        <v>#N/A</v>
      </c>
      <c r="O58" s="12" t="e">
        <f t="shared" si="11"/>
        <v>#N/A</v>
      </c>
      <c r="P58" s="12" t="e">
        <f t="shared" si="11"/>
        <v>#N/A</v>
      </c>
    </row>
    <row r="59" spans="1:16">
      <c r="A59" s="247">
        <v>0</v>
      </c>
      <c r="B59" s="247" t="s">
        <v>469</v>
      </c>
      <c r="C59" s="247" t="s">
        <v>435</v>
      </c>
      <c r="D59" s="247" t="s">
        <v>470</v>
      </c>
      <c r="E59" s="247" t="s">
        <v>471</v>
      </c>
      <c r="F59" s="12"/>
      <c r="G59" s="12"/>
      <c r="H59" s="12"/>
      <c r="I59" s="12"/>
      <c r="J59" s="12"/>
      <c r="K59" s="12"/>
      <c r="M59" s="76"/>
      <c r="N59" s="12"/>
      <c r="O59" s="12"/>
      <c r="P59" s="12"/>
    </row>
    <row r="60" spans="1:16">
      <c r="A60" s="247">
        <v>30</v>
      </c>
      <c r="B60" s="248">
        <v>0.83</v>
      </c>
      <c r="C60" s="248">
        <v>0.88</v>
      </c>
      <c r="D60" s="248">
        <v>0.94</v>
      </c>
      <c r="E60" s="248" t="s">
        <v>476</v>
      </c>
      <c r="F60" s="12"/>
      <c r="G60" s="12"/>
      <c r="H60" s="12"/>
      <c r="I60" s="12"/>
      <c r="J60" s="12"/>
      <c r="K60" s="12"/>
      <c r="M60" s="76"/>
      <c r="N60" s="12"/>
      <c r="O60" s="12"/>
      <c r="P60" s="12"/>
    </row>
    <row r="61" spans="1:16">
      <c r="A61" s="247">
        <v>40</v>
      </c>
      <c r="B61" s="248">
        <v>0.84</v>
      </c>
      <c r="C61" s="248">
        <v>0.91</v>
      </c>
      <c r="D61" s="248">
        <v>0.96</v>
      </c>
      <c r="E61" s="248" t="s">
        <v>485</v>
      </c>
      <c r="F61" s="12"/>
      <c r="G61" s="12"/>
      <c r="H61" s="12"/>
      <c r="I61" s="12"/>
      <c r="J61" s="12"/>
      <c r="K61" s="12"/>
      <c r="L61" s="12"/>
      <c r="M61" s="12"/>
      <c r="N61" s="12"/>
      <c r="O61" s="12"/>
      <c r="P61" s="12"/>
    </row>
    <row r="62" spans="1:16">
      <c r="A62" s="247">
        <v>50</v>
      </c>
      <c r="B62" s="248">
        <v>0.88</v>
      </c>
      <c r="C62" s="248">
        <v>0.95</v>
      </c>
      <c r="D62" s="248">
        <v>1</v>
      </c>
      <c r="E62" s="248" t="s">
        <v>494</v>
      </c>
      <c r="F62" s="12"/>
      <c r="G62" s="12"/>
      <c r="H62" s="12"/>
      <c r="I62" s="12"/>
      <c r="J62" s="12"/>
      <c r="K62" s="12"/>
      <c r="L62" s="12"/>
      <c r="M62" s="12"/>
      <c r="N62" s="12"/>
      <c r="O62" s="12"/>
      <c r="P62" s="12"/>
    </row>
    <row r="63" spans="1:16">
      <c r="A63" s="247">
        <v>60</v>
      </c>
      <c r="B63" s="248">
        <v>0.9</v>
      </c>
      <c r="C63" s="248">
        <v>0.96</v>
      </c>
      <c r="D63" s="248">
        <v>1.02</v>
      </c>
      <c r="E63" s="248" t="s">
        <v>503</v>
      </c>
      <c r="F63" s="12"/>
      <c r="G63" s="12"/>
      <c r="H63" s="12"/>
      <c r="I63" s="12"/>
      <c r="J63" s="12"/>
      <c r="K63" s="12"/>
      <c r="L63" s="12"/>
      <c r="M63" s="12"/>
      <c r="N63" s="12"/>
      <c r="O63" s="12"/>
      <c r="P63" s="12"/>
    </row>
    <row r="64" spans="1:16">
      <c r="A64" s="247"/>
      <c r="B64" s="248">
        <v>0.91</v>
      </c>
      <c r="C64" s="248">
        <v>0.98</v>
      </c>
      <c r="D64" s="248">
        <v>1.03</v>
      </c>
      <c r="E64" s="248" t="s">
        <v>512</v>
      </c>
      <c r="F64" s="12"/>
      <c r="G64" s="12"/>
      <c r="H64" s="12"/>
      <c r="I64" s="12"/>
      <c r="J64" s="12"/>
      <c r="K64" s="12"/>
      <c r="L64" s="12"/>
      <c r="M64" s="12"/>
      <c r="N64" s="12"/>
      <c r="O64" s="12"/>
      <c r="P64" s="12"/>
    </row>
    <row r="65" spans="1:16">
      <c r="A65" s="163" t="s">
        <v>472</v>
      </c>
      <c r="B65" s="249">
        <v>0.71</v>
      </c>
      <c r="C65" s="249">
        <v>0.77</v>
      </c>
      <c r="D65" s="249">
        <v>0.83</v>
      </c>
      <c r="E65" s="249" t="s">
        <v>480</v>
      </c>
      <c r="F65" s="12"/>
      <c r="G65" s="12"/>
      <c r="H65" s="12"/>
      <c r="I65" s="12"/>
      <c r="J65" s="12"/>
      <c r="K65" s="12"/>
      <c r="L65" s="12"/>
      <c r="M65" s="12"/>
      <c r="N65" s="12"/>
      <c r="O65" s="12"/>
      <c r="P65" s="12"/>
    </row>
    <row r="66" spans="1:16">
      <c r="A66" s="163" t="s">
        <v>481</v>
      </c>
      <c r="B66" s="249">
        <v>0.72</v>
      </c>
      <c r="C66" s="249">
        <v>0.78</v>
      </c>
      <c r="D66" s="249">
        <v>0.84</v>
      </c>
      <c r="E66" s="249" t="s">
        <v>489</v>
      </c>
      <c r="F66" s="12"/>
      <c r="G66" s="12"/>
      <c r="H66" s="12"/>
      <c r="I66" s="12"/>
      <c r="J66" s="12"/>
      <c r="K66" s="12"/>
      <c r="L66" s="12"/>
      <c r="M66" s="12"/>
      <c r="N66" s="12"/>
      <c r="O66" s="12"/>
      <c r="P66" s="12"/>
    </row>
    <row r="67" spans="1:16">
      <c r="A67" s="163" t="s">
        <v>490</v>
      </c>
      <c r="B67" s="249">
        <v>0.73</v>
      </c>
      <c r="C67" s="249">
        <v>0.79</v>
      </c>
      <c r="D67" s="249">
        <v>0.87</v>
      </c>
      <c r="E67" s="249" t="s">
        <v>498</v>
      </c>
      <c r="F67" s="12"/>
      <c r="G67" s="12"/>
      <c r="H67" s="12"/>
      <c r="I67" s="12"/>
      <c r="J67" s="12"/>
      <c r="K67" s="12"/>
      <c r="L67" s="12"/>
      <c r="M67" s="12"/>
      <c r="N67" s="12"/>
      <c r="O67" s="12"/>
      <c r="P67" s="12"/>
    </row>
    <row r="68" spans="1:16">
      <c r="A68" s="163" t="s">
        <v>499</v>
      </c>
      <c r="B68" s="249">
        <v>0.74</v>
      </c>
      <c r="C68" s="249">
        <v>0.81</v>
      </c>
      <c r="D68" s="249">
        <v>0.88</v>
      </c>
      <c r="E68" s="249" t="s">
        <v>507</v>
      </c>
      <c r="F68" s="12"/>
      <c r="G68" s="12"/>
      <c r="H68" s="12"/>
      <c r="I68" s="12"/>
      <c r="J68" s="12"/>
      <c r="K68" s="12"/>
      <c r="L68" s="12"/>
      <c r="M68" s="12"/>
      <c r="N68" s="12"/>
      <c r="O68" s="12"/>
      <c r="P68" s="12"/>
    </row>
    <row r="69" spans="1:16">
      <c r="A69" s="163" t="s">
        <v>508</v>
      </c>
      <c r="B69" s="249">
        <v>0.76</v>
      </c>
      <c r="C69" s="249">
        <v>0.83</v>
      </c>
      <c r="D69" s="249">
        <v>0.9</v>
      </c>
      <c r="E69" s="249" t="s">
        <v>515</v>
      </c>
      <c r="F69" s="12"/>
      <c r="G69" s="12"/>
      <c r="H69" s="12"/>
      <c r="I69" s="12"/>
      <c r="J69" s="12"/>
      <c r="K69" s="12"/>
      <c r="L69" s="12"/>
      <c r="M69" s="12"/>
      <c r="N69" s="12"/>
      <c r="O69" s="12"/>
      <c r="P69" s="12"/>
    </row>
    <row r="70" spans="1:16">
      <c r="B70" s="12"/>
      <c r="C70" s="12"/>
      <c r="D70" s="12"/>
      <c r="E70" s="12"/>
      <c r="F70" s="12"/>
      <c r="G70" s="12"/>
      <c r="H70" s="12"/>
      <c r="I70" s="12"/>
      <c r="J70" s="12"/>
      <c r="K70" s="12"/>
      <c r="L70" s="12"/>
      <c r="M70" s="12"/>
      <c r="N70" s="12"/>
      <c r="O70" s="12"/>
      <c r="P70" s="12"/>
    </row>
    <row r="71" spans="1:16">
      <c r="B71" s="12">
        <v>0</v>
      </c>
      <c r="C71" s="12">
        <v>0</v>
      </c>
      <c r="D71" s="12">
        <v>0</v>
      </c>
      <c r="E71" s="12">
        <v>0</v>
      </c>
      <c r="F71" s="12">
        <v>0</v>
      </c>
      <c r="G71" s="12">
        <v>0</v>
      </c>
      <c r="H71" s="12">
        <v>0</v>
      </c>
      <c r="I71" s="12">
        <v>0</v>
      </c>
      <c r="J71" s="12">
        <v>0</v>
      </c>
      <c r="K71" s="12">
        <v>0</v>
      </c>
      <c r="L71" s="12">
        <v>0</v>
      </c>
      <c r="M71" s="12">
        <v>0</v>
      </c>
      <c r="N71" s="12">
        <v>0</v>
      </c>
      <c r="O71" s="12">
        <v>0</v>
      </c>
      <c r="P71" s="12">
        <v>0</v>
      </c>
    </row>
    <row r="72" spans="1:16">
      <c r="A72" s="12" t="str">
        <f t="shared" ref="A72:P72" si="12">A53</f>
        <v>Baixo</v>
      </c>
      <c r="B72" s="148">
        <f t="shared" ca="1" si="12"/>
        <v>0.88</v>
      </c>
      <c r="C72" s="148">
        <f t="shared" ca="1" si="12"/>
        <v>0.9</v>
      </c>
      <c r="D72" s="148">
        <f t="shared" ca="1" si="12"/>
        <v>0.9</v>
      </c>
      <c r="E72" s="148">
        <f t="shared" ca="1" si="12"/>
        <v>0.9</v>
      </c>
      <c r="F72" s="148">
        <f t="shared" ca="1" si="12"/>
        <v>0.9</v>
      </c>
      <c r="G72" s="148">
        <f t="shared" ca="1" si="12"/>
        <v>0.9</v>
      </c>
      <c r="H72" s="148">
        <f t="shared" ca="1" si="12"/>
        <v>0.9</v>
      </c>
      <c r="I72" s="148">
        <f t="shared" ca="1" si="12"/>
        <v>0.9</v>
      </c>
      <c r="J72" s="148">
        <f t="shared" ca="1" si="12"/>
        <v>0.9</v>
      </c>
      <c r="K72" s="148">
        <f t="shared" ca="1" si="12"/>
        <v>0.9</v>
      </c>
      <c r="L72" s="148">
        <f t="shared" ca="1" si="12"/>
        <v>0.9</v>
      </c>
      <c r="M72" s="148">
        <f t="shared" ca="1" si="12"/>
        <v>0.9</v>
      </c>
      <c r="N72" s="148" t="e">
        <f t="shared" ca="1" si="12"/>
        <v>#N/A</v>
      </c>
      <c r="O72" s="148" t="e">
        <f t="shared" ca="1" si="12"/>
        <v>#N/A</v>
      </c>
      <c r="P72" s="148" t="e">
        <f t="shared" ca="1" si="12"/>
        <v>#N/A</v>
      </c>
    </row>
    <row r="73" spans="1:16">
      <c r="A73" s="12" t="str">
        <f t="shared" ref="A73:P73" si="13">A52</f>
        <v>Moderado</v>
      </c>
      <c r="B73" s="148">
        <f t="shared" ca="1" si="13"/>
        <v>0.95</v>
      </c>
      <c r="C73" s="148">
        <f t="shared" ca="1" si="13"/>
        <v>0.96</v>
      </c>
      <c r="D73" s="148">
        <f t="shared" ca="1" si="13"/>
        <v>0.96</v>
      </c>
      <c r="E73" s="148">
        <f t="shared" ca="1" si="13"/>
        <v>0.96</v>
      </c>
      <c r="F73" s="148">
        <f t="shared" ca="1" si="13"/>
        <v>0.96</v>
      </c>
      <c r="G73" s="148">
        <f t="shared" ca="1" si="13"/>
        <v>0.96</v>
      </c>
      <c r="H73" s="148">
        <f t="shared" ca="1" si="13"/>
        <v>0.96</v>
      </c>
      <c r="I73" s="148">
        <f t="shared" ca="1" si="13"/>
        <v>0.96</v>
      </c>
      <c r="J73" s="148">
        <f t="shared" ca="1" si="13"/>
        <v>0.96</v>
      </c>
      <c r="K73" s="148">
        <f t="shared" ca="1" si="13"/>
        <v>0.96</v>
      </c>
      <c r="L73" s="148">
        <f t="shared" ca="1" si="13"/>
        <v>0.96</v>
      </c>
      <c r="M73" s="148">
        <f t="shared" ca="1" si="13"/>
        <v>0.96</v>
      </c>
      <c r="N73" s="148" t="e">
        <f t="shared" ca="1" si="13"/>
        <v>#N/A</v>
      </c>
      <c r="O73" s="148" t="e">
        <f t="shared" ca="1" si="13"/>
        <v>#N/A</v>
      </c>
      <c r="P73" s="148" t="e">
        <f t="shared" ca="1" si="13"/>
        <v>#N/A</v>
      </c>
    </row>
    <row r="74" spans="1:16">
      <c r="A74" s="12" t="str">
        <f t="shared" ref="A74:P74" si="14">A51</f>
        <v>Alto</v>
      </c>
      <c r="B74" s="148">
        <f t="shared" ca="1" si="14"/>
        <v>1</v>
      </c>
      <c r="C74" s="148">
        <f t="shared" ca="1" si="14"/>
        <v>1.02</v>
      </c>
      <c r="D74" s="148">
        <f t="shared" ca="1" si="14"/>
        <v>1.02</v>
      </c>
      <c r="E74" s="148">
        <f t="shared" ca="1" si="14"/>
        <v>1.02</v>
      </c>
      <c r="F74" s="148">
        <f t="shared" ca="1" si="14"/>
        <v>1.02</v>
      </c>
      <c r="G74" s="148">
        <f t="shared" ca="1" si="14"/>
        <v>1.02</v>
      </c>
      <c r="H74" s="148">
        <f t="shared" ca="1" si="14"/>
        <v>1.02</v>
      </c>
      <c r="I74" s="148">
        <f t="shared" ca="1" si="14"/>
        <v>1.02</v>
      </c>
      <c r="J74" s="148">
        <f t="shared" ca="1" si="14"/>
        <v>1.02</v>
      </c>
      <c r="K74" s="148">
        <f t="shared" ca="1" si="14"/>
        <v>1.02</v>
      </c>
      <c r="L74" s="148">
        <f t="shared" ca="1" si="14"/>
        <v>1.02</v>
      </c>
      <c r="M74" s="148">
        <f t="shared" ca="1" si="14"/>
        <v>1.02</v>
      </c>
      <c r="N74" s="148" t="e">
        <f t="shared" ca="1" si="14"/>
        <v>#N/A</v>
      </c>
      <c r="O74" s="148" t="e">
        <f t="shared" ca="1" si="14"/>
        <v>#N/A</v>
      </c>
      <c r="P74" s="148" t="e">
        <f t="shared" ca="1" si="14"/>
        <v>#N/A</v>
      </c>
    </row>
    <row r="75" spans="1:16">
      <c r="A75" s="12" t="str">
        <f t="shared" ref="A75:P75" si="15">A50</f>
        <v>Muito Alto</v>
      </c>
      <c r="B75" s="148">
        <f t="shared" ca="1" si="15"/>
        <v>1.1000000000000001</v>
      </c>
      <c r="C75" s="148">
        <f t="shared" ca="1" si="15"/>
        <v>1.1000000000000001</v>
      </c>
      <c r="D75" s="148">
        <f t="shared" ca="1" si="15"/>
        <v>1.1000000000000001</v>
      </c>
      <c r="E75" s="148">
        <f t="shared" ca="1" si="15"/>
        <v>1.1000000000000001</v>
      </c>
      <c r="F75" s="148">
        <f t="shared" ca="1" si="15"/>
        <v>1.1000000000000001</v>
      </c>
      <c r="G75" s="148">
        <f t="shared" ca="1" si="15"/>
        <v>1.1000000000000001</v>
      </c>
      <c r="H75" s="148">
        <f t="shared" ca="1" si="15"/>
        <v>1.1000000000000001</v>
      </c>
      <c r="I75" s="148">
        <f t="shared" ca="1" si="15"/>
        <v>1.1000000000000001</v>
      </c>
      <c r="J75" s="148">
        <f t="shared" ca="1" si="15"/>
        <v>1.1000000000000001</v>
      </c>
      <c r="K75" s="148">
        <f t="shared" ca="1" si="15"/>
        <v>1.1000000000000001</v>
      </c>
      <c r="L75" s="148">
        <f t="shared" ca="1" si="15"/>
        <v>1.1000000000000001</v>
      </c>
      <c r="M75" s="148">
        <f t="shared" ca="1" si="15"/>
        <v>1.1000000000000001</v>
      </c>
      <c r="N75" s="148">
        <f t="shared" ca="1" si="15"/>
        <v>1.1000000000000001</v>
      </c>
      <c r="O75" s="148">
        <f t="shared" ca="1" si="15"/>
        <v>1.1000000000000001</v>
      </c>
      <c r="P75" s="148">
        <f t="shared" ca="1" si="15"/>
        <v>1.1000000000000001</v>
      </c>
    </row>
    <row r="76" spans="1:16">
      <c r="B76" s="147"/>
      <c r="C76" s="147"/>
      <c r="D76" s="147"/>
      <c r="E76" s="147"/>
      <c r="F76" s="147"/>
      <c r="G76" s="147"/>
      <c r="H76" s="147"/>
      <c r="I76" s="147"/>
      <c r="J76" s="147"/>
      <c r="K76" s="147"/>
      <c r="L76" s="147"/>
      <c r="M76" s="147"/>
      <c r="N76" s="147"/>
      <c r="O76" s="147"/>
      <c r="P76" s="147"/>
    </row>
    <row r="77" spans="1:16">
      <c r="B77" s="147"/>
      <c r="C77" s="147"/>
      <c r="D77" s="147"/>
      <c r="E77" s="147"/>
      <c r="F77" s="147"/>
      <c r="G77" s="147"/>
      <c r="H77" s="147"/>
      <c r="I77" s="147"/>
      <c r="J77" s="147"/>
      <c r="K77" s="147"/>
      <c r="L77" s="147"/>
      <c r="M77" s="147"/>
      <c r="N77" s="147"/>
      <c r="O77" s="147"/>
      <c r="P77" s="147"/>
    </row>
    <row r="78" spans="1:16">
      <c r="A78" s="12">
        <f>IF(Avaliação!$K$1="Feminino",6,0)</f>
        <v>0</v>
      </c>
      <c r="B78" s="12" t="str">
        <f t="shared" ref="B78:P78" si="16">B$1</f>
        <v>Av1</v>
      </c>
      <c r="C78" s="12" t="str">
        <f t="shared" si="16"/>
        <v>Av2</v>
      </c>
      <c r="D78" s="12" t="str">
        <f t="shared" si="16"/>
        <v>Av3</v>
      </c>
      <c r="E78" s="12" t="str">
        <f t="shared" si="16"/>
        <v>Av4</v>
      </c>
      <c r="F78" s="12" t="str">
        <f t="shared" si="16"/>
        <v>Av5</v>
      </c>
      <c r="G78" s="12" t="str">
        <f t="shared" si="16"/>
        <v>Av6</v>
      </c>
      <c r="H78" s="12" t="str">
        <f t="shared" si="16"/>
        <v>Av7</v>
      </c>
      <c r="I78" s="12" t="str">
        <f t="shared" si="16"/>
        <v>Av8</v>
      </c>
      <c r="J78" s="12" t="str">
        <f t="shared" si="16"/>
        <v>Av9</v>
      </c>
      <c r="K78" s="12" t="str">
        <f t="shared" si="16"/>
        <v>Av10</v>
      </c>
      <c r="L78" s="12" t="str">
        <f t="shared" si="16"/>
        <v>Av11</v>
      </c>
      <c r="M78" s="12" t="str">
        <f t="shared" si="16"/>
        <v>Av12</v>
      </c>
      <c r="N78" s="12" t="str">
        <f t="shared" si="16"/>
        <v>Av13</v>
      </c>
      <c r="O78" s="12" t="str">
        <f t="shared" si="16"/>
        <v>Av14</v>
      </c>
      <c r="P78" s="12" t="str">
        <f t="shared" si="16"/>
        <v>Av15</v>
      </c>
    </row>
    <row r="79" spans="1:16">
      <c r="A79" s="34" t="s">
        <v>522</v>
      </c>
      <c r="B79" s="149">
        <f ca="1">MAX(MAX($B$84:$P$84)*1.05,$B$80*1.1)</f>
        <v>63</v>
      </c>
      <c r="C79" s="149">
        <f t="shared" ref="C79:P79" ca="1" si="17">IF(C78="","",$B$79)</f>
        <v>63</v>
      </c>
      <c r="D79" s="149">
        <f t="shared" ca="1" si="17"/>
        <v>63</v>
      </c>
      <c r="E79" s="149">
        <f t="shared" ca="1" si="17"/>
        <v>63</v>
      </c>
      <c r="F79" s="149">
        <f t="shared" ca="1" si="17"/>
        <v>63</v>
      </c>
      <c r="G79" s="149">
        <f t="shared" ca="1" si="17"/>
        <v>63</v>
      </c>
      <c r="H79" s="149">
        <f t="shared" ca="1" si="17"/>
        <v>63</v>
      </c>
      <c r="I79" s="149">
        <f t="shared" ca="1" si="17"/>
        <v>63</v>
      </c>
      <c r="J79" s="149">
        <f t="shared" ca="1" si="17"/>
        <v>63</v>
      </c>
      <c r="K79" s="149">
        <f t="shared" ca="1" si="17"/>
        <v>63</v>
      </c>
      <c r="L79" s="149">
        <f t="shared" ca="1" si="17"/>
        <v>63</v>
      </c>
      <c r="M79" s="149">
        <f t="shared" ca="1" si="17"/>
        <v>63</v>
      </c>
      <c r="N79" s="149">
        <f t="shared" ca="1" si="17"/>
        <v>63</v>
      </c>
      <c r="O79" s="149">
        <f t="shared" ca="1" si="17"/>
        <v>63</v>
      </c>
      <c r="P79" s="149">
        <f t="shared" ca="1" si="17"/>
        <v>63</v>
      </c>
    </row>
    <row r="80" spans="1:16">
      <c r="A80" s="34" t="s">
        <v>521</v>
      </c>
      <c r="B80" s="149">
        <f t="shared" ref="B80:P80" ca="1" si="18">OFFSET($E$88,B$87+$A$78,)</f>
        <v>31</v>
      </c>
      <c r="C80" s="149">
        <f t="shared" ca="1" si="18"/>
        <v>26</v>
      </c>
      <c r="D80" s="149">
        <f t="shared" ca="1" si="18"/>
        <v>26</v>
      </c>
      <c r="E80" s="149">
        <f t="shared" ca="1" si="18"/>
        <v>26</v>
      </c>
      <c r="F80" s="149">
        <f t="shared" ca="1" si="18"/>
        <v>26</v>
      </c>
      <c r="G80" s="149">
        <f t="shared" ca="1" si="18"/>
        <v>26</v>
      </c>
      <c r="H80" s="149">
        <f t="shared" ca="1" si="18"/>
        <v>26</v>
      </c>
      <c r="I80" s="149">
        <f t="shared" ca="1" si="18"/>
        <v>26</v>
      </c>
      <c r="J80" s="149">
        <f t="shared" ca="1" si="18"/>
        <v>26</v>
      </c>
      <c r="K80" s="149">
        <f t="shared" ca="1" si="18"/>
        <v>26</v>
      </c>
      <c r="L80" s="149">
        <f t="shared" ca="1" si="18"/>
        <v>26</v>
      </c>
      <c r="M80" s="149">
        <f t="shared" ca="1" si="18"/>
        <v>26</v>
      </c>
      <c r="N80" s="149" t="e">
        <f t="shared" ca="1" si="18"/>
        <v>#N/A</v>
      </c>
      <c r="O80" s="149" t="e">
        <f t="shared" ca="1" si="18"/>
        <v>#N/A</v>
      </c>
      <c r="P80" s="149" t="e">
        <f t="shared" ca="1" si="18"/>
        <v>#N/A</v>
      </c>
    </row>
    <row r="81" spans="1:16">
      <c r="A81" s="34" t="s">
        <v>520</v>
      </c>
      <c r="B81" s="149">
        <f t="shared" ref="B81:P81" ca="1" si="19">OFFSET($D$88,B$87+$A$78,)</f>
        <v>26</v>
      </c>
      <c r="C81" s="149">
        <f t="shared" ca="1" si="19"/>
        <v>22</v>
      </c>
      <c r="D81" s="149">
        <f t="shared" ca="1" si="19"/>
        <v>22</v>
      </c>
      <c r="E81" s="149">
        <f t="shared" ca="1" si="19"/>
        <v>22</v>
      </c>
      <c r="F81" s="149">
        <f t="shared" ca="1" si="19"/>
        <v>22</v>
      </c>
      <c r="G81" s="149">
        <f t="shared" ca="1" si="19"/>
        <v>22</v>
      </c>
      <c r="H81" s="149">
        <f t="shared" ca="1" si="19"/>
        <v>22</v>
      </c>
      <c r="I81" s="149">
        <f t="shared" ca="1" si="19"/>
        <v>22</v>
      </c>
      <c r="J81" s="149">
        <f t="shared" ca="1" si="19"/>
        <v>22</v>
      </c>
      <c r="K81" s="149">
        <f t="shared" ca="1" si="19"/>
        <v>22</v>
      </c>
      <c r="L81" s="149">
        <f t="shared" ca="1" si="19"/>
        <v>22</v>
      </c>
      <c r="M81" s="149">
        <f t="shared" ca="1" si="19"/>
        <v>22</v>
      </c>
      <c r="N81" s="149" t="e">
        <f t="shared" ca="1" si="19"/>
        <v>#N/A</v>
      </c>
      <c r="O81" s="149" t="e">
        <f t="shared" ca="1" si="19"/>
        <v>#N/A</v>
      </c>
      <c r="P81" s="149" t="e">
        <f t="shared" ca="1" si="19"/>
        <v>#N/A</v>
      </c>
    </row>
    <row r="82" spans="1:16">
      <c r="A82" s="34" t="s">
        <v>519</v>
      </c>
      <c r="B82" s="149">
        <f t="shared" ref="B82:P82" ca="1" si="20">OFFSET($C$88,B$87+$A$78,)</f>
        <v>22</v>
      </c>
      <c r="C82" s="149">
        <f t="shared" ca="1" si="20"/>
        <v>18</v>
      </c>
      <c r="D82" s="149">
        <f t="shared" ca="1" si="20"/>
        <v>18</v>
      </c>
      <c r="E82" s="149">
        <f t="shared" ca="1" si="20"/>
        <v>18</v>
      </c>
      <c r="F82" s="149">
        <f t="shared" ca="1" si="20"/>
        <v>18</v>
      </c>
      <c r="G82" s="149">
        <f t="shared" ca="1" si="20"/>
        <v>18</v>
      </c>
      <c r="H82" s="149">
        <f t="shared" ca="1" si="20"/>
        <v>18</v>
      </c>
      <c r="I82" s="149">
        <f t="shared" ca="1" si="20"/>
        <v>18</v>
      </c>
      <c r="J82" s="149">
        <f t="shared" ca="1" si="20"/>
        <v>18</v>
      </c>
      <c r="K82" s="149">
        <f t="shared" ca="1" si="20"/>
        <v>18</v>
      </c>
      <c r="L82" s="149">
        <f t="shared" ca="1" si="20"/>
        <v>18</v>
      </c>
      <c r="M82" s="149">
        <f t="shared" ca="1" si="20"/>
        <v>18</v>
      </c>
      <c r="N82" s="149" t="e">
        <f t="shared" ca="1" si="20"/>
        <v>#N/A</v>
      </c>
      <c r="O82" s="149" t="e">
        <f t="shared" ca="1" si="20"/>
        <v>#N/A</v>
      </c>
      <c r="P82" s="149" t="e">
        <f t="shared" ca="1" si="20"/>
        <v>#N/A</v>
      </c>
    </row>
    <row r="83" spans="1:16">
      <c r="A83" s="34" t="s">
        <v>518</v>
      </c>
      <c r="B83" s="149">
        <f t="shared" ref="B83:P83" ca="1" si="21">OFFSET($B$88,B$87+$A$78,)</f>
        <v>17</v>
      </c>
      <c r="C83" s="149">
        <f t="shared" ca="1" si="21"/>
        <v>13</v>
      </c>
      <c r="D83" s="149">
        <f t="shared" ca="1" si="21"/>
        <v>13</v>
      </c>
      <c r="E83" s="149">
        <f t="shared" ca="1" si="21"/>
        <v>13</v>
      </c>
      <c r="F83" s="149">
        <f t="shared" ca="1" si="21"/>
        <v>13</v>
      </c>
      <c r="G83" s="149">
        <f t="shared" ca="1" si="21"/>
        <v>13</v>
      </c>
      <c r="H83" s="149">
        <f t="shared" ca="1" si="21"/>
        <v>13</v>
      </c>
      <c r="I83" s="149">
        <f t="shared" ca="1" si="21"/>
        <v>13</v>
      </c>
      <c r="J83" s="149">
        <f t="shared" ca="1" si="21"/>
        <v>13</v>
      </c>
      <c r="K83" s="149">
        <f t="shared" ca="1" si="21"/>
        <v>13</v>
      </c>
      <c r="L83" s="149">
        <f t="shared" ca="1" si="21"/>
        <v>13</v>
      </c>
      <c r="M83" s="149">
        <f t="shared" ca="1" si="21"/>
        <v>13</v>
      </c>
      <c r="N83" s="149" t="e">
        <f t="shared" ca="1" si="21"/>
        <v>#N/A</v>
      </c>
      <c r="O83" s="149" t="e">
        <f t="shared" ca="1" si="21"/>
        <v>#N/A</v>
      </c>
      <c r="P83" s="149" t="e">
        <f t="shared" ca="1" si="21"/>
        <v>#N/A</v>
      </c>
    </row>
    <row r="84" spans="1:16">
      <c r="A84" s="34" t="str">
        <f>'BD tratado'!A117</f>
        <v>RML Abdominal</v>
      </c>
      <c r="B84" s="149">
        <f>'BD tratado'!E117</f>
        <v>55</v>
      </c>
      <c r="C84" s="149">
        <f>'BD tratado'!F117</f>
        <v>60</v>
      </c>
      <c r="D84" s="149">
        <f>'BD tratado'!G117</f>
        <v>60</v>
      </c>
      <c r="E84" s="149">
        <f>'BD tratado'!H117</f>
        <v>60</v>
      </c>
      <c r="F84" s="149">
        <f>'BD tratado'!I117</f>
        <v>60</v>
      </c>
      <c r="G84" s="149">
        <f>'BD tratado'!J117</f>
        <v>60</v>
      </c>
      <c r="H84" s="149">
        <f>'BD tratado'!K117</f>
        <v>60</v>
      </c>
      <c r="I84" s="149">
        <f>'BD tratado'!L117</f>
        <v>60</v>
      </c>
      <c r="J84" s="149">
        <f>'BD tratado'!M117</f>
        <v>57</v>
      </c>
      <c r="K84" s="149">
        <f>'BD tratado'!N117</f>
        <v>56</v>
      </c>
      <c r="L84" s="149">
        <f>'BD tratado'!O117</f>
        <v>56</v>
      </c>
      <c r="M84" s="149">
        <f>'BD tratado'!P117</f>
        <v>56</v>
      </c>
      <c r="N84" s="149">
        <f>'BD tratado'!Q117</f>
        <v>56</v>
      </c>
      <c r="O84" s="149">
        <f>'BD tratado'!R117</f>
        <v>56</v>
      </c>
      <c r="P84" s="149">
        <f>'BD tratado'!S117</f>
        <v>56</v>
      </c>
    </row>
    <row r="85" spans="1:16">
      <c r="B85" s="12"/>
      <c r="C85" s="12"/>
      <c r="D85" s="12"/>
      <c r="E85" s="12"/>
      <c r="F85" s="12"/>
      <c r="G85" s="12"/>
      <c r="H85" s="12"/>
      <c r="I85" s="12"/>
      <c r="J85" s="12"/>
      <c r="K85" s="12"/>
      <c r="L85" s="12"/>
      <c r="M85" s="12"/>
      <c r="N85" s="12"/>
      <c r="O85" s="12"/>
      <c r="P85" s="12"/>
    </row>
    <row r="86" spans="1:16">
      <c r="A86" s="34" t="s">
        <v>969</v>
      </c>
      <c r="B86" s="12" t="str">
        <f t="shared" ref="B86:P86" ca="1" si="22">OFFSET($A$102,MATCH(B84,B$102:B$106,1),)</f>
        <v>Excelente</v>
      </c>
      <c r="C86" s="12" t="str">
        <f t="shared" ca="1" si="22"/>
        <v>Excelente</v>
      </c>
      <c r="D86" s="12" t="str">
        <f t="shared" ca="1" si="22"/>
        <v>Excelente</v>
      </c>
      <c r="E86" s="12" t="str">
        <f t="shared" ca="1" si="22"/>
        <v>Excelente</v>
      </c>
      <c r="F86" s="12" t="str">
        <f t="shared" ca="1" si="22"/>
        <v>Excelente</v>
      </c>
      <c r="G86" s="12" t="str">
        <f t="shared" ca="1" si="22"/>
        <v>Excelente</v>
      </c>
      <c r="H86" s="12" t="str">
        <f t="shared" ca="1" si="22"/>
        <v>Excelente</v>
      </c>
      <c r="I86" s="12" t="str">
        <f t="shared" ca="1" si="22"/>
        <v>Excelente</v>
      </c>
      <c r="J86" s="12" t="str">
        <f t="shared" ca="1" si="22"/>
        <v>Excelente</v>
      </c>
      <c r="K86" s="12" t="str">
        <f t="shared" ca="1" si="22"/>
        <v>Excelente</v>
      </c>
      <c r="L86" s="12" t="str">
        <f t="shared" ca="1" si="22"/>
        <v>Excelente</v>
      </c>
      <c r="M86" s="12" t="str">
        <f t="shared" ca="1" si="22"/>
        <v>Excelente</v>
      </c>
      <c r="N86" s="12" t="str">
        <f t="shared" ca="1" si="22"/>
        <v>Ruim</v>
      </c>
      <c r="O86" s="12" t="str">
        <f t="shared" ca="1" si="22"/>
        <v>Ruim</v>
      </c>
      <c r="P86" s="12" t="str">
        <f t="shared" ca="1" si="22"/>
        <v>Ruim</v>
      </c>
    </row>
    <row r="87" spans="1:16">
      <c r="A87" s="34" t="s">
        <v>970</v>
      </c>
      <c r="B87" s="12">
        <f t="shared" ref="B87:P87" si="23">MATCH(B$56,$A$88:$A$93,1)</f>
        <v>4</v>
      </c>
      <c r="C87" s="12">
        <f t="shared" si="23"/>
        <v>5</v>
      </c>
      <c r="D87" s="12">
        <f t="shared" si="23"/>
        <v>5</v>
      </c>
      <c r="E87" s="12">
        <f t="shared" si="23"/>
        <v>5</v>
      </c>
      <c r="F87" s="12">
        <f t="shared" si="23"/>
        <v>5</v>
      </c>
      <c r="G87" s="12">
        <f t="shared" si="23"/>
        <v>5</v>
      </c>
      <c r="H87" s="12">
        <f t="shared" si="23"/>
        <v>5</v>
      </c>
      <c r="I87" s="12">
        <f t="shared" si="23"/>
        <v>5</v>
      </c>
      <c r="J87" s="12">
        <f t="shared" si="23"/>
        <v>5</v>
      </c>
      <c r="K87" s="12">
        <f t="shared" si="23"/>
        <v>5</v>
      </c>
      <c r="L87" s="12">
        <f t="shared" si="23"/>
        <v>5</v>
      </c>
      <c r="M87" s="12">
        <f t="shared" si="23"/>
        <v>5</v>
      </c>
      <c r="N87" s="12" t="e">
        <f t="shared" si="23"/>
        <v>#N/A</v>
      </c>
      <c r="O87" s="12" t="e">
        <f t="shared" si="23"/>
        <v>#N/A</v>
      </c>
      <c r="P87" s="12" t="e">
        <f t="shared" si="23"/>
        <v>#N/A</v>
      </c>
    </row>
    <row r="88" spans="1:16">
      <c r="A88" s="247">
        <v>0</v>
      </c>
      <c r="B88" s="76" t="s">
        <v>518</v>
      </c>
      <c r="C88" s="76" t="s">
        <v>519</v>
      </c>
      <c r="D88" s="76" t="s">
        <v>520</v>
      </c>
      <c r="E88" s="76" t="s">
        <v>521</v>
      </c>
      <c r="F88" s="76" t="s">
        <v>522</v>
      </c>
    </row>
    <row r="89" spans="1:16">
      <c r="A89" s="247">
        <v>20</v>
      </c>
      <c r="B89" s="76">
        <v>33</v>
      </c>
      <c r="C89" s="76">
        <v>38</v>
      </c>
      <c r="D89" s="76">
        <v>42</v>
      </c>
      <c r="E89" s="76">
        <v>48</v>
      </c>
      <c r="F89" s="76"/>
      <c r="G89" s="12"/>
      <c r="H89" s="12"/>
      <c r="I89" s="12"/>
      <c r="J89" s="12"/>
      <c r="K89" s="12"/>
      <c r="L89" s="12"/>
      <c r="M89" s="12"/>
      <c r="N89" s="12"/>
      <c r="O89" s="12"/>
      <c r="P89" s="12"/>
    </row>
    <row r="90" spans="1:16">
      <c r="A90" s="247">
        <v>30</v>
      </c>
      <c r="B90" s="76">
        <v>29</v>
      </c>
      <c r="C90" s="76">
        <v>33</v>
      </c>
      <c r="D90" s="76">
        <v>37</v>
      </c>
      <c r="E90" s="76">
        <v>43</v>
      </c>
      <c r="F90" s="76"/>
      <c r="G90" s="12"/>
      <c r="H90" s="12"/>
      <c r="I90" s="12"/>
      <c r="J90" s="12"/>
      <c r="K90" s="12"/>
      <c r="L90" s="12"/>
      <c r="M90" s="12"/>
      <c r="N90" s="12"/>
      <c r="O90" s="12"/>
      <c r="P90" s="12"/>
    </row>
    <row r="91" spans="1:16">
      <c r="A91" s="247">
        <v>40</v>
      </c>
      <c r="B91" s="76">
        <v>22</v>
      </c>
      <c r="C91" s="76">
        <v>27</v>
      </c>
      <c r="D91" s="76">
        <v>31</v>
      </c>
      <c r="E91" s="76">
        <v>36</v>
      </c>
      <c r="F91" s="76"/>
      <c r="G91" s="12"/>
      <c r="H91" s="12"/>
      <c r="I91" s="12"/>
      <c r="J91" s="12"/>
      <c r="K91" s="12"/>
      <c r="L91" s="12"/>
      <c r="M91" s="12"/>
      <c r="N91" s="12"/>
      <c r="O91" s="12"/>
      <c r="P91" s="12"/>
    </row>
    <row r="92" spans="1:16">
      <c r="A92" s="247">
        <v>50</v>
      </c>
      <c r="B92" s="76">
        <v>17</v>
      </c>
      <c r="C92" s="76">
        <v>22</v>
      </c>
      <c r="D92" s="76">
        <v>26</v>
      </c>
      <c r="E92" s="76">
        <v>31</v>
      </c>
      <c r="F92" s="76"/>
      <c r="G92" s="12"/>
      <c r="H92" s="12"/>
      <c r="I92" s="12"/>
      <c r="J92" s="12"/>
      <c r="K92" s="12"/>
      <c r="L92" s="12"/>
      <c r="M92" s="12"/>
      <c r="N92" s="12"/>
      <c r="O92" s="12"/>
      <c r="P92" s="12"/>
    </row>
    <row r="93" spans="1:16">
      <c r="A93" s="247">
        <v>60</v>
      </c>
      <c r="B93" s="76">
        <v>13</v>
      </c>
      <c r="C93" s="76">
        <v>18</v>
      </c>
      <c r="D93" s="76">
        <v>22</v>
      </c>
      <c r="E93" s="76">
        <v>26</v>
      </c>
      <c r="F93" s="76"/>
      <c r="G93" s="12"/>
      <c r="H93" s="12"/>
      <c r="I93" s="12"/>
      <c r="J93" s="12"/>
      <c r="K93" s="12"/>
      <c r="L93" s="12"/>
      <c r="M93" s="12"/>
      <c r="N93" s="12"/>
      <c r="O93" s="12"/>
      <c r="P93" s="12"/>
    </row>
    <row r="94" spans="1:16">
      <c r="A94" s="41"/>
      <c r="B94" s="76">
        <v>7</v>
      </c>
      <c r="C94" s="76">
        <v>12</v>
      </c>
      <c r="D94" s="76">
        <v>17</v>
      </c>
      <c r="E94" s="76">
        <v>23</v>
      </c>
      <c r="F94" s="76"/>
      <c r="G94" s="12"/>
      <c r="H94" s="12"/>
      <c r="N94" s="12"/>
      <c r="O94" s="12"/>
      <c r="P94" s="12"/>
    </row>
    <row r="95" spans="1:16">
      <c r="A95" s="163" t="s">
        <v>523</v>
      </c>
      <c r="B95" s="76">
        <v>27</v>
      </c>
      <c r="C95" s="76">
        <v>32</v>
      </c>
      <c r="D95" s="76">
        <v>36</v>
      </c>
      <c r="E95" s="76">
        <v>42</v>
      </c>
      <c r="F95" s="76"/>
      <c r="G95" s="12"/>
      <c r="H95" s="12"/>
      <c r="I95" s="12"/>
      <c r="J95" s="12"/>
      <c r="K95" s="12"/>
      <c r="L95" s="147"/>
      <c r="M95" s="147"/>
      <c r="N95" s="147"/>
      <c r="O95" s="147"/>
      <c r="P95" s="147"/>
    </row>
    <row r="96" spans="1:16">
      <c r="A96" s="163" t="s">
        <v>472</v>
      </c>
      <c r="B96" s="76">
        <v>21</v>
      </c>
      <c r="C96" s="76">
        <v>25</v>
      </c>
      <c r="D96" s="76">
        <v>31</v>
      </c>
      <c r="E96" s="76">
        <v>36</v>
      </c>
      <c r="F96" s="76"/>
      <c r="G96" s="12"/>
      <c r="H96" s="12"/>
      <c r="I96" s="12"/>
      <c r="J96" s="12"/>
      <c r="K96" s="12"/>
      <c r="L96" s="147"/>
      <c r="M96" s="147"/>
      <c r="N96" s="147"/>
      <c r="O96" s="147"/>
      <c r="P96" s="147"/>
    </row>
    <row r="97" spans="1:16">
      <c r="A97" s="163" t="s">
        <v>481</v>
      </c>
      <c r="B97" s="76">
        <v>15</v>
      </c>
      <c r="C97" s="76">
        <v>20</v>
      </c>
      <c r="D97" s="76">
        <v>24</v>
      </c>
      <c r="E97" s="76">
        <v>29</v>
      </c>
      <c r="F97" s="76"/>
      <c r="G97" s="12"/>
      <c r="H97" s="12"/>
      <c r="I97" s="12"/>
      <c r="J97" s="12"/>
      <c r="K97" s="12"/>
      <c r="L97" s="147"/>
      <c r="M97" s="147"/>
      <c r="N97" s="147"/>
      <c r="O97" s="147"/>
      <c r="P97" s="147"/>
    </row>
    <row r="98" spans="1:16">
      <c r="A98" s="163" t="s">
        <v>490</v>
      </c>
      <c r="B98" s="76">
        <v>7</v>
      </c>
      <c r="C98" s="76">
        <v>15</v>
      </c>
      <c r="D98" s="76">
        <v>20</v>
      </c>
      <c r="E98" s="76">
        <v>25</v>
      </c>
      <c r="F98" s="76"/>
      <c r="G98" s="12"/>
      <c r="H98" s="12"/>
      <c r="I98" s="12"/>
      <c r="J98" s="12"/>
      <c r="K98" s="12"/>
      <c r="L98" s="147"/>
      <c r="M98" s="147"/>
      <c r="N98" s="147"/>
      <c r="O98" s="147"/>
      <c r="P98" s="147"/>
    </row>
    <row r="99" spans="1:16">
      <c r="A99" s="163" t="s">
        <v>499</v>
      </c>
      <c r="B99" s="76">
        <v>3</v>
      </c>
      <c r="C99" s="76">
        <v>5</v>
      </c>
      <c r="D99" s="76">
        <v>12</v>
      </c>
      <c r="E99" s="76">
        <v>19</v>
      </c>
      <c r="F99" s="76"/>
      <c r="G99" s="12"/>
      <c r="H99" s="12"/>
      <c r="I99" s="12"/>
      <c r="J99" s="12"/>
      <c r="K99" s="12"/>
      <c r="L99" s="12"/>
      <c r="M99" s="12"/>
      <c r="N99" s="147"/>
      <c r="O99" s="147"/>
      <c r="P99" s="147"/>
    </row>
    <row r="100" spans="1:16">
      <c r="A100" s="163" t="s">
        <v>508</v>
      </c>
      <c r="B100" s="76">
        <v>2</v>
      </c>
      <c r="C100" s="76">
        <v>4</v>
      </c>
      <c r="D100" s="76">
        <v>12</v>
      </c>
      <c r="E100" s="76">
        <v>16</v>
      </c>
      <c r="F100" s="76"/>
      <c r="G100" s="12"/>
      <c r="H100" s="12"/>
      <c r="I100" s="12"/>
      <c r="J100" s="12"/>
      <c r="K100" s="12"/>
      <c r="L100" s="12"/>
      <c r="M100" s="12"/>
      <c r="N100" s="12"/>
      <c r="O100" s="12"/>
      <c r="P100" s="12"/>
    </row>
    <row r="101" spans="1:16">
      <c r="B101" s="147"/>
      <c r="C101" s="147"/>
      <c r="D101" s="12"/>
      <c r="E101" s="12"/>
      <c r="F101" s="12"/>
      <c r="G101" s="12"/>
      <c r="H101" s="12"/>
      <c r="I101" s="12"/>
      <c r="J101" s="12"/>
      <c r="K101" s="12"/>
      <c r="L101" s="12"/>
      <c r="M101" s="12"/>
      <c r="N101" s="12"/>
      <c r="O101" s="12"/>
      <c r="P101" s="12"/>
    </row>
    <row r="102" spans="1:16">
      <c r="B102" s="76">
        <v>0</v>
      </c>
      <c r="C102" s="76">
        <v>0</v>
      </c>
      <c r="D102" s="76">
        <v>0</v>
      </c>
      <c r="E102" s="76">
        <v>0</v>
      </c>
      <c r="F102" s="76">
        <v>0</v>
      </c>
      <c r="G102" s="76">
        <v>0</v>
      </c>
      <c r="H102" s="76">
        <v>0</v>
      </c>
      <c r="I102" s="76">
        <v>0</v>
      </c>
      <c r="J102" s="76">
        <v>0</v>
      </c>
      <c r="K102" s="76">
        <v>0</v>
      </c>
      <c r="L102" s="76">
        <v>0</v>
      </c>
      <c r="M102" s="76">
        <v>0</v>
      </c>
      <c r="N102" s="76">
        <v>0</v>
      </c>
      <c r="O102" s="76">
        <v>0</v>
      </c>
      <c r="P102" s="76">
        <v>0</v>
      </c>
    </row>
    <row r="103" spans="1:16">
      <c r="A103" s="34" t="str">
        <f t="shared" ref="A103:P103" si="24">A83</f>
        <v>Ruim</v>
      </c>
      <c r="B103" s="250">
        <f t="shared" ca="1" si="24"/>
        <v>17</v>
      </c>
      <c r="C103" s="250">
        <f t="shared" ca="1" si="24"/>
        <v>13</v>
      </c>
      <c r="D103" s="250">
        <f t="shared" ca="1" si="24"/>
        <v>13</v>
      </c>
      <c r="E103" s="250">
        <f t="shared" ca="1" si="24"/>
        <v>13</v>
      </c>
      <c r="F103" s="250">
        <f t="shared" ca="1" si="24"/>
        <v>13</v>
      </c>
      <c r="G103" s="250">
        <f t="shared" ca="1" si="24"/>
        <v>13</v>
      </c>
      <c r="H103" s="250">
        <f t="shared" ca="1" si="24"/>
        <v>13</v>
      </c>
      <c r="I103" s="250">
        <f t="shared" ca="1" si="24"/>
        <v>13</v>
      </c>
      <c r="J103" s="250">
        <f t="shared" ca="1" si="24"/>
        <v>13</v>
      </c>
      <c r="K103" s="250">
        <f t="shared" ca="1" si="24"/>
        <v>13</v>
      </c>
      <c r="L103" s="250">
        <f t="shared" ca="1" si="24"/>
        <v>13</v>
      </c>
      <c r="M103" s="250">
        <f t="shared" ca="1" si="24"/>
        <v>13</v>
      </c>
      <c r="N103" s="250" t="e">
        <f t="shared" ca="1" si="24"/>
        <v>#N/A</v>
      </c>
      <c r="O103" s="250" t="e">
        <f t="shared" ca="1" si="24"/>
        <v>#N/A</v>
      </c>
      <c r="P103" s="250" t="e">
        <f t="shared" ca="1" si="24"/>
        <v>#N/A</v>
      </c>
    </row>
    <row r="104" spans="1:16">
      <c r="A104" s="34" t="str">
        <f t="shared" ref="A104:P104" si="25">A82</f>
        <v>Abaixo da Média</v>
      </c>
      <c r="B104" s="149">
        <f t="shared" ca="1" si="25"/>
        <v>22</v>
      </c>
      <c r="C104" s="149">
        <f t="shared" ca="1" si="25"/>
        <v>18</v>
      </c>
      <c r="D104" s="149">
        <f t="shared" ca="1" si="25"/>
        <v>18</v>
      </c>
      <c r="E104" s="149">
        <f t="shared" ca="1" si="25"/>
        <v>18</v>
      </c>
      <c r="F104" s="149">
        <f t="shared" ca="1" si="25"/>
        <v>18</v>
      </c>
      <c r="G104" s="149">
        <f t="shared" ca="1" si="25"/>
        <v>18</v>
      </c>
      <c r="H104" s="149">
        <f t="shared" ca="1" si="25"/>
        <v>18</v>
      </c>
      <c r="I104" s="149">
        <f t="shared" ca="1" si="25"/>
        <v>18</v>
      </c>
      <c r="J104" s="149">
        <f t="shared" ca="1" si="25"/>
        <v>18</v>
      </c>
      <c r="K104" s="149">
        <f t="shared" ca="1" si="25"/>
        <v>18</v>
      </c>
      <c r="L104" s="149">
        <f t="shared" ca="1" si="25"/>
        <v>18</v>
      </c>
      <c r="M104" s="149">
        <f t="shared" ca="1" si="25"/>
        <v>18</v>
      </c>
      <c r="N104" s="149" t="e">
        <f t="shared" ca="1" si="25"/>
        <v>#N/A</v>
      </c>
      <c r="O104" s="149" t="e">
        <f t="shared" ca="1" si="25"/>
        <v>#N/A</v>
      </c>
      <c r="P104" s="149" t="e">
        <f t="shared" ca="1" si="25"/>
        <v>#N/A</v>
      </c>
    </row>
    <row r="105" spans="1:16">
      <c r="A105" s="34" t="str">
        <f t="shared" ref="A105:P105" si="26">A81</f>
        <v>Bom</v>
      </c>
      <c r="B105" s="149">
        <f t="shared" ca="1" si="26"/>
        <v>26</v>
      </c>
      <c r="C105" s="149">
        <f t="shared" ca="1" si="26"/>
        <v>22</v>
      </c>
      <c r="D105" s="149">
        <f t="shared" ca="1" si="26"/>
        <v>22</v>
      </c>
      <c r="E105" s="149">
        <f t="shared" ca="1" si="26"/>
        <v>22</v>
      </c>
      <c r="F105" s="149">
        <f t="shared" ca="1" si="26"/>
        <v>22</v>
      </c>
      <c r="G105" s="149">
        <f t="shared" ca="1" si="26"/>
        <v>22</v>
      </c>
      <c r="H105" s="149">
        <f t="shared" ca="1" si="26"/>
        <v>22</v>
      </c>
      <c r="I105" s="149">
        <f t="shared" ca="1" si="26"/>
        <v>22</v>
      </c>
      <c r="J105" s="149">
        <f t="shared" ca="1" si="26"/>
        <v>22</v>
      </c>
      <c r="K105" s="149">
        <f t="shared" ca="1" si="26"/>
        <v>22</v>
      </c>
      <c r="L105" s="149">
        <f t="shared" ca="1" si="26"/>
        <v>22</v>
      </c>
      <c r="M105" s="149">
        <f t="shared" ca="1" si="26"/>
        <v>22</v>
      </c>
      <c r="N105" s="149" t="e">
        <f t="shared" ca="1" si="26"/>
        <v>#N/A</v>
      </c>
      <c r="O105" s="149" t="e">
        <f t="shared" ca="1" si="26"/>
        <v>#N/A</v>
      </c>
      <c r="P105" s="149" t="e">
        <f t="shared" ca="1" si="26"/>
        <v>#N/A</v>
      </c>
    </row>
    <row r="106" spans="1:16">
      <c r="A106" s="34" t="str">
        <f t="shared" ref="A106:P106" si="27">A80</f>
        <v>Acima da Média</v>
      </c>
      <c r="B106" s="149">
        <f t="shared" ca="1" si="27"/>
        <v>31</v>
      </c>
      <c r="C106" s="149">
        <f t="shared" ca="1" si="27"/>
        <v>26</v>
      </c>
      <c r="D106" s="149">
        <f t="shared" ca="1" si="27"/>
        <v>26</v>
      </c>
      <c r="E106" s="149">
        <f t="shared" ca="1" si="27"/>
        <v>26</v>
      </c>
      <c r="F106" s="149">
        <f t="shared" ca="1" si="27"/>
        <v>26</v>
      </c>
      <c r="G106" s="149">
        <f t="shared" ca="1" si="27"/>
        <v>26</v>
      </c>
      <c r="H106" s="149">
        <f t="shared" ca="1" si="27"/>
        <v>26</v>
      </c>
      <c r="I106" s="149">
        <f t="shared" ca="1" si="27"/>
        <v>26</v>
      </c>
      <c r="J106" s="149">
        <f t="shared" ca="1" si="27"/>
        <v>26</v>
      </c>
      <c r="K106" s="149">
        <f t="shared" ca="1" si="27"/>
        <v>26</v>
      </c>
      <c r="L106" s="149">
        <f t="shared" ca="1" si="27"/>
        <v>26</v>
      </c>
      <c r="M106" s="149">
        <f t="shared" ca="1" si="27"/>
        <v>26</v>
      </c>
      <c r="N106" s="149" t="e">
        <f t="shared" ca="1" si="27"/>
        <v>#N/A</v>
      </c>
      <c r="O106" s="149" t="e">
        <f t="shared" ca="1" si="27"/>
        <v>#N/A</v>
      </c>
      <c r="P106" s="149" t="e">
        <f t="shared" ca="1" si="27"/>
        <v>#N/A</v>
      </c>
    </row>
    <row r="107" spans="1:16">
      <c r="A107" s="34" t="str">
        <f t="shared" ref="A107:P107" si="28">A79</f>
        <v>Excelente</v>
      </c>
      <c r="B107" s="149">
        <f t="shared" ca="1" si="28"/>
        <v>63</v>
      </c>
      <c r="C107" s="149">
        <f t="shared" ca="1" si="28"/>
        <v>63</v>
      </c>
      <c r="D107" s="149">
        <f t="shared" ca="1" si="28"/>
        <v>63</v>
      </c>
      <c r="E107" s="149">
        <f t="shared" ca="1" si="28"/>
        <v>63</v>
      </c>
      <c r="F107" s="149">
        <f t="shared" ca="1" si="28"/>
        <v>63</v>
      </c>
      <c r="G107" s="149">
        <f t="shared" ca="1" si="28"/>
        <v>63</v>
      </c>
      <c r="H107" s="149">
        <f t="shared" ca="1" si="28"/>
        <v>63</v>
      </c>
      <c r="I107" s="149">
        <f t="shared" ca="1" si="28"/>
        <v>63</v>
      </c>
      <c r="J107" s="149">
        <f t="shared" ca="1" si="28"/>
        <v>63</v>
      </c>
      <c r="K107" s="149">
        <f t="shared" ca="1" si="28"/>
        <v>63</v>
      </c>
      <c r="L107" s="149">
        <f t="shared" ca="1" si="28"/>
        <v>63</v>
      </c>
      <c r="M107" s="149">
        <f t="shared" ca="1" si="28"/>
        <v>63</v>
      </c>
      <c r="N107" s="149">
        <f t="shared" ca="1" si="28"/>
        <v>63</v>
      </c>
      <c r="O107" s="149">
        <f t="shared" ca="1" si="28"/>
        <v>63</v>
      </c>
      <c r="P107" s="149">
        <f t="shared" ca="1" si="28"/>
        <v>63</v>
      </c>
    </row>
    <row r="108" spans="1:16">
      <c r="B108" s="12"/>
      <c r="C108" s="12"/>
      <c r="D108" s="12"/>
      <c r="E108" s="12"/>
      <c r="F108" s="12"/>
      <c r="G108" s="12"/>
      <c r="H108" s="12"/>
      <c r="I108" s="12"/>
      <c r="J108" s="12"/>
      <c r="K108" s="12"/>
      <c r="L108" s="12"/>
      <c r="M108" s="12"/>
      <c r="N108" s="12"/>
      <c r="O108" s="12"/>
      <c r="P108" s="12"/>
    </row>
    <row r="109" spans="1:16">
      <c r="B109" s="12"/>
      <c r="C109" s="12"/>
      <c r="D109" s="12"/>
      <c r="E109" s="12"/>
      <c r="F109" s="12"/>
      <c r="G109" s="12"/>
      <c r="H109" s="12"/>
      <c r="I109" s="12"/>
      <c r="J109" s="12"/>
      <c r="K109" s="12"/>
      <c r="L109" s="12"/>
      <c r="M109" s="12"/>
      <c r="N109" s="12"/>
      <c r="O109" s="12"/>
      <c r="P109" s="12"/>
    </row>
    <row r="110" spans="1:16">
      <c r="B110" s="12" t="str">
        <f t="shared" ref="B110:P110" si="29">B$1</f>
        <v>Av1</v>
      </c>
      <c r="C110" s="12" t="str">
        <f t="shared" si="29"/>
        <v>Av2</v>
      </c>
      <c r="D110" s="12" t="str">
        <f t="shared" si="29"/>
        <v>Av3</v>
      </c>
      <c r="E110" s="12" t="str">
        <f t="shared" si="29"/>
        <v>Av4</v>
      </c>
      <c r="F110" s="12" t="str">
        <f t="shared" si="29"/>
        <v>Av5</v>
      </c>
      <c r="G110" s="12" t="str">
        <f t="shared" si="29"/>
        <v>Av6</v>
      </c>
      <c r="H110" s="12" t="str">
        <f t="shared" si="29"/>
        <v>Av7</v>
      </c>
      <c r="I110" s="12" t="str">
        <f t="shared" si="29"/>
        <v>Av8</v>
      </c>
      <c r="J110" s="12" t="str">
        <f t="shared" si="29"/>
        <v>Av9</v>
      </c>
      <c r="K110" s="12" t="str">
        <f t="shared" si="29"/>
        <v>Av10</v>
      </c>
      <c r="L110" s="12" t="str">
        <f t="shared" si="29"/>
        <v>Av11</v>
      </c>
      <c r="M110" s="12" t="str">
        <f t="shared" si="29"/>
        <v>Av12</v>
      </c>
      <c r="N110" s="12" t="str">
        <f t="shared" si="29"/>
        <v>Av13</v>
      </c>
      <c r="O110" s="12" t="str">
        <f t="shared" si="29"/>
        <v>Av14</v>
      </c>
      <c r="P110" s="12" t="str">
        <f t="shared" si="29"/>
        <v>Av15</v>
      </c>
    </row>
    <row r="111" spans="1:16">
      <c r="A111" s="34" t="s">
        <v>522</v>
      </c>
      <c r="B111" s="149">
        <f ca="1">MAX(MAX($B$116:$P$116)*1.05,$B$112*1.1)</f>
        <v>38.5</v>
      </c>
      <c r="C111" s="149">
        <f t="shared" ref="C111:P111" ca="1" si="30">IF(C110="","",$B$111)</f>
        <v>38.5</v>
      </c>
      <c r="D111" s="149">
        <f t="shared" ca="1" si="30"/>
        <v>38.5</v>
      </c>
      <c r="E111" s="149">
        <f t="shared" ca="1" si="30"/>
        <v>38.5</v>
      </c>
      <c r="F111" s="149">
        <f t="shared" ca="1" si="30"/>
        <v>38.5</v>
      </c>
      <c r="G111" s="149">
        <f t="shared" ca="1" si="30"/>
        <v>38.5</v>
      </c>
      <c r="H111" s="149">
        <f t="shared" ca="1" si="30"/>
        <v>38.5</v>
      </c>
      <c r="I111" s="149">
        <f t="shared" ca="1" si="30"/>
        <v>38.5</v>
      </c>
      <c r="J111" s="149">
        <f t="shared" ca="1" si="30"/>
        <v>38.5</v>
      </c>
      <c r="K111" s="149">
        <f t="shared" ca="1" si="30"/>
        <v>38.5</v>
      </c>
      <c r="L111" s="149">
        <f t="shared" ca="1" si="30"/>
        <v>38.5</v>
      </c>
      <c r="M111" s="149">
        <f t="shared" ca="1" si="30"/>
        <v>38.5</v>
      </c>
      <c r="N111" s="149">
        <f t="shared" ca="1" si="30"/>
        <v>38.5</v>
      </c>
      <c r="O111" s="149">
        <f t="shared" ca="1" si="30"/>
        <v>38.5</v>
      </c>
      <c r="P111" s="149">
        <f t="shared" ca="1" si="30"/>
        <v>38.5</v>
      </c>
    </row>
    <row r="112" spans="1:16">
      <c r="A112" s="34" t="s">
        <v>521</v>
      </c>
      <c r="B112" s="149">
        <f t="shared" ref="B112:P112" ca="1" si="31">OFFSET($E$120,B$87+$A$78,)</f>
        <v>35</v>
      </c>
      <c r="C112" s="149">
        <f t="shared" ca="1" si="31"/>
        <v>35</v>
      </c>
      <c r="D112" s="149">
        <f t="shared" ca="1" si="31"/>
        <v>35</v>
      </c>
      <c r="E112" s="149">
        <f t="shared" ca="1" si="31"/>
        <v>35</v>
      </c>
      <c r="F112" s="149">
        <f t="shared" ca="1" si="31"/>
        <v>35</v>
      </c>
      <c r="G112" s="149">
        <f t="shared" ca="1" si="31"/>
        <v>35</v>
      </c>
      <c r="H112" s="149">
        <f t="shared" ca="1" si="31"/>
        <v>35</v>
      </c>
      <c r="I112" s="149">
        <f t="shared" ca="1" si="31"/>
        <v>35</v>
      </c>
      <c r="J112" s="149">
        <f t="shared" ca="1" si="31"/>
        <v>35</v>
      </c>
      <c r="K112" s="149">
        <f t="shared" ca="1" si="31"/>
        <v>35</v>
      </c>
      <c r="L112" s="149">
        <f t="shared" ca="1" si="31"/>
        <v>35</v>
      </c>
      <c r="M112" s="149">
        <f t="shared" ca="1" si="31"/>
        <v>35</v>
      </c>
      <c r="N112" s="149" t="e">
        <f t="shared" ca="1" si="31"/>
        <v>#N/A</v>
      </c>
      <c r="O112" s="149" t="e">
        <f t="shared" ca="1" si="31"/>
        <v>#N/A</v>
      </c>
      <c r="P112" s="149" t="e">
        <f t="shared" ca="1" si="31"/>
        <v>#N/A</v>
      </c>
    </row>
    <row r="113" spans="1:16">
      <c r="A113" s="34" t="s">
        <v>520</v>
      </c>
      <c r="B113" s="149">
        <f t="shared" ref="B113:P113" ca="1" si="32">OFFSET($D$120,B$87+$A$78,)</f>
        <v>29</v>
      </c>
      <c r="C113" s="149">
        <f t="shared" ca="1" si="32"/>
        <v>28</v>
      </c>
      <c r="D113" s="149">
        <f t="shared" ca="1" si="32"/>
        <v>28</v>
      </c>
      <c r="E113" s="149">
        <f t="shared" ca="1" si="32"/>
        <v>28</v>
      </c>
      <c r="F113" s="149">
        <f t="shared" ca="1" si="32"/>
        <v>28</v>
      </c>
      <c r="G113" s="149">
        <f t="shared" ca="1" si="32"/>
        <v>28</v>
      </c>
      <c r="H113" s="149">
        <f t="shared" ca="1" si="32"/>
        <v>28</v>
      </c>
      <c r="I113" s="149">
        <f t="shared" ca="1" si="32"/>
        <v>28</v>
      </c>
      <c r="J113" s="149">
        <f t="shared" ca="1" si="32"/>
        <v>28</v>
      </c>
      <c r="K113" s="149">
        <f t="shared" ca="1" si="32"/>
        <v>28</v>
      </c>
      <c r="L113" s="149">
        <f t="shared" ca="1" si="32"/>
        <v>28</v>
      </c>
      <c r="M113" s="149">
        <f t="shared" ca="1" si="32"/>
        <v>28</v>
      </c>
      <c r="N113" s="149" t="e">
        <f t="shared" ca="1" si="32"/>
        <v>#N/A</v>
      </c>
      <c r="O113" s="149" t="e">
        <f t="shared" ca="1" si="32"/>
        <v>#N/A</v>
      </c>
      <c r="P113" s="149" t="e">
        <f t="shared" ca="1" si="32"/>
        <v>#N/A</v>
      </c>
    </row>
    <row r="114" spans="1:16">
      <c r="A114" s="34" t="s">
        <v>519</v>
      </c>
      <c r="B114" s="149">
        <f t="shared" ref="B114:P114" ca="1" si="33">OFFSET($C$120,B$87+$A$78,)</f>
        <v>24</v>
      </c>
      <c r="C114" s="149">
        <f t="shared" ca="1" si="33"/>
        <v>24</v>
      </c>
      <c r="D114" s="149">
        <f t="shared" ca="1" si="33"/>
        <v>24</v>
      </c>
      <c r="E114" s="149">
        <f t="shared" ca="1" si="33"/>
        <v>24</v>
      </c>
      <c r="F114" s="149">
        <f t="shared" ca="1" si="33"/>
        <v>24</v>
      </c>
      <c r="G114" s="149">
        <f t="shared" ca="1" si="33"/>
        <v>24</v>
      </c>
      <c r="H114" s="149">
        <f t="shared" ca="1" si="33"/>
        <v>24</v>
      </c>
      <c r="I114" s="149">
        <f t="shared" ca="1" si="33"/>
        <v>24</v>
      </c>
      <c r="J114" s="149">
        <f t="shared" ca="1" si="33"/>
        <v>24</v>
      </c>
      <c r="K114" s="149">
        <f t="shared" ca="1" si="33"/>
        <v>24</v>
      </c>
      <c r="L114" s="149">
        <f t="shared" ca="1" si="33"/>
        <v>24</v>
      </c>
      <c r="M114" s="149">
        <f t="shared" ca="1" si="33"/>
        <v>24</v>
      </c>
      <c r="N114" s="149" t="e">
        <f t="shared" ca="1" si="33"/>
        <v>#N/A</v>
      </c>
      <c r="O114" s="149" t="e">
        <f t="shared" ca="1" si="33"/>
        <v>#N/A</v>
      </c>
      <c r="P114" s="149" t="e">
        <f t="shared" ca="1" si="33"/>
        <v>#N/A</v>
      </c>
    </row>
    <row r="115" spans="1:16">
      <c r="A115" s="34" t="s">
        <v>518</v>
      </c>
      <c r="B115" s="149">
        <f t="shared" ref="B115:P115" ca="1" si="34">OFFSET($B$120,B$87+$A$78,)</f>
        <v>18</v>
      </c>
      <c r="C115" s="149">
        <f t="shared" ca="1" si="34"/>
        <v>16</v>
      </c>
      <c r="D115" s="149">
        <f t="shared" ca="1" si="34"/>
        <v>16</v>
      </c>
      <c r="E115" s="149">
        <f t="shared" ca="1" si="34"/>
        <v>16</v>
      </c>
      <c r="F115" s="149">
        <f t="shared" ca="1" si="34"/>
        <v>16</v>
      </c>
      <c r="G115" s="149">
        <f t="shared" ca="1" si="34"/>
        <v>16</v>
      </c>
      <c r="H115" s="149">
        <f t="shared" ca="1" si="34"/>
        <v>16</v>
      </c>
      <c r="I115" s="149">
        <f t="shared" ca="1" si="34"/>
        <v>16</v>
      </c>
      <c r="J115" s="149">
        <f t="shared" ca="1" si="34"/>
        <v>16</v>
      </c>
      <c r="K115" s="149">
        <f t="shared" ca="1" si="34"/>
        <v>16</v>
      </c>
      <c r="L115" s="149">
        <f t="shared" ca="1" si="34"/>
        <v>16</v>
      </c>
      <c r="M115" s="149">
        <f t="shared" ca="1" si="34"/>
        <v>16</v>
      </c>
      <c r="N115" s="149" t="e">
        <f t="shared" ca="1" si="34"/>
        <v>#N/A</v>
      </c>
      <c r="O115" s="149" t="e">
        <f t="shared" ca="1" si="34"/>
        <v>#N/A</v>
      </c>
      <c r="P115" s="149" t="e">
        <f t="shared" ca="1" si="34"/>
        <v>#N/A</v>
      </c>
    </row>
    <row r="116" spans="1:16">
      <c r="A116" s="34" t="str">
        <f>'BD tratado'!A118</f>
        <v>Flexibilidade</v>
      </c>
      <c r="B116" s="149">
        <f>'BD tratado'!E118</f>
        <v>27.2</v>
      </c>
      <c r="C116" s="149">
        <f>'BD tratado'!F118</f>
        <v>31.5</v>
      </c>
      <c r="D116" s="149">
        <f>'BD tratado'!G118</f>
        <v>31.5</v>
      </c>
      <c r="E116" s="149">
        <f>'BD tratado'!H118</f>
        <v>31</v>
      </c>
      <c r="F116" s="149">
        <f>'BD tratado'!I118</f>
        <v>32</v>
      </c>
      <c r="G116" s="149">
        <f>'BD tratado'!J118</f>
        <v>32</v>
      </c>
      <c r="H116" s="149">
        <f>'BD tratado'!K118</f>
        <v>32</v>
      </c>
      <c r="I116" s="149">
        <f>'BD tratado'!L118</f>
        <v>32</v>
      </c>
      <c r="J116" s="149">
        <f>'BD tratado'!M118</f>
        <v>31</v>
      </c>
      <c r="K116" s="149">
        <f>'BD tratado'!N118</f>
        <v>31</v>
      </c>
      <c r="L116" s="149">
        <f>'BD tratado'!O118</f>
        <v>31</v>
      </c>
      <c r="M116" s="149">
        <f>'BD tratado'!P118</f>
        <v>31</v>
      </c>
      <c r="N116" s="149">
        <f>'BD tratado'!Q118</f>
        <v>31</v>
      </c>
      <c r="O116" s="149">
        <f>'BD tratado'!R118</f>
        <v>31</v>
      </c>
      <c r="P116" s="149">
        <f>'BD tratado'!S118</f>
        <v>31</v>
      </c>
    </row>
    <row r="117" spans="1:16">
      <c r="B117" s="12"/>
      <c r="C117" s="12"/>
      <c r="D117" s="12"/>
      <c r="E117" s="12"/>
      <c r="F117" s="12"/>
      <c r="G117" s="12"/>
      <c r="H117" s="12"/>
      <c r="I117" s="12"/>
      <c r="J117" s="12"/>
      <c r="K117" s="12"/>
      <c r="L117" s="12"/>
      <c r="M117" s="12"/>
      <c r="N117" s="12"/>
      <c r="O117" s="12"/>
      <c r="P117" s="12"/>
    </row>
    <row r="118" spans="1:16">
      <c r="A118" s="34" t="s">
        <v>176</v>
      </c>
      <c r="B118" s="12" t="str">
        <f t="shared" ref="B118:P118" ca="1" si="35">OFFSET($A$134,MATCH(B116,$B$134:$B$138,1),)</f>
        <v>Bom</v>
      </c>
      <c r="C118" s="12" t="str">
        <f t="shared" ca="1" si="35"/>
        <v>Acima da Média</v>
      </c>
      <c r="D118" s="12" t="str">
        <f t="shared" ca="1" si="35"/>
        <v>Acima da Média</v>
      </c>
      <c r="E118" s="12" t="str">
        <f t="shared" ca="1" si="35"/>
        <v>Acima da Média</v>
      </c>
      <c r="F118" s="12" t="str">
        <f t="shared" ca="1" si="35"/>
        <v>Acima da Média</v>
      </c>
      <c r="G118" s="12" t="str">
        <f t="shared" ca="1" si="35"/>
        <v>Acima da Média</v>
      </c>
      <c r="H118" s="12" t="str">
        <f t="shared" ca="1" si="35"/>
        <v>Acima da Média</v>
      </c>
      <c r="I118" s="12" t="str">
        <f t="shared" ca="1" si="35"/>
        <v>Acima da Média</v>
      </c>
      <c r="J118" s="12" t="str">
        <f t="shared" ca="1" si="35"/>
        <v>Acima da Média</v>
      </c>
      <c r="K118" s="12" t="str">
        <f t="shared" ca="1" si="35"/>
        <v>Acima da Média</v>
      </c>
      <c r="L118" s="12" t="str">
        <f t="shared" ca="1" si="35"/>
        <v>Acima da Média</v>
      </c>
      <c r="M118" s="12" t="str">
        <f t="shared" ca="1" si="35"/>
        <v>Acima da Média</v>
      </c>
      <c r="N118" s="12" t="str">
        <f t="shared" ca="1" si="35"/>
        <v>Acima da Média</v>
      </c>
      <c r="O118" s="12" t="str">
        <f t="shared" ca="1" si="35"/>
        <v>Acima da Média</v>
      </c>
      <c r="P118" s="12" t="str">
        <f t="shared" ca="1" si="35"/>
        <v>Acima da Média</v>
      </c>
    </row>
    <row r="120" spans="1:16">
      <c r="A120" s="247">
        <v>0</v>
      </c>
      <c r="B120" s="76" t="s">
        <v>518</v>
      </c>
      <c r="C120" s="76" t="s">
        <v>519</v>
      </c>
      <c r="D120" s="76" t="s">
        <v>520</v>
      </c>
      <c r="E120" s="76" t="s">
        <v>521</v>
      </c>
      <c r="F120" s="76" t="s">
        <v>522</v>
      </c>
    </row>
    <row r="121" spans="1:16">
      <c r="A121" s="247">
        <v>20</v>
      </c>
      <c r="B121" s="76">
        <v>24</v>
      </c>
      <c r="C121" s="76">
        <v>29</v>
      </c>
      <c r="D121" s="76">
        <v>34</v>
      </c>
      <c r="E121" s="76">
        <v>39</v>
      </c>
      <c r="F121" s="76"/>
      <c r="G121" s="12"/>
      <c r="H121" s="12"/>
      <c r="I121" s="12"/>
      <c r="J121" s="12"/>
      <c r="K121" s="12"/>
      <c r="L121" s="147"/>
      <c r="M121" s="147"/>
    </row>
    <row r="122" spans="1:16">
      <c r="A122" s="247">
        <v>30</v>
      </c>
      <c r="B122" s="76">
        <v>25</v>
      </c>
      <c r="C122" s="76">
        <v>30</v>
      </c>
      <c r="D122" s="76">
        <v>34</v>
      </c>
      <c r="E122" s="76">
        <v>40</v>
      </c>
      <c r="F122" s="76"/>
      <c r="G122" s="12"/>
      <c r="H122" s="12"/>
      <c r="I122" s="12"/>
      <c r="J122" s="12"/>
      <c r="K122" s="12"/>
      <c r="L122" s="147"/>
      <c r="M122" s="147"/>
    </row>
    <row r="123" spans="1:16">
      <c r="A123" s="247">
        <v>40</v>
      </c>
      <c r="B123" s="76">
        <v>23</v>
      </c>
      <c r="C123" s="76">
        <v>28</v>
      </c>
      <c r="D123" s="76">
        <v>33</v>
      </c>
      <c r="E123" s="76">
        <v>38</v>
      </c>
      <c r="F123" s="76"/>
      <c r="G123" s="12"/>
      <c r="H123" s="12"/>
      <c r="I123" s="12"/>
      <c r="J123" s="12"/>
      <c r="K123" s="12"/>
      <c r="L123" s="147"/>
      <c r="M123" s="147"/>
    </row>
    <row r="124" spans="1:16">
      <c r="A124" s="247">
        <v>50</v>
      </c>
      <c r="B124" s="76">
        <v>18</v>
      </c>
      <c r="C124" s="76">
        <v>24</v>
      </c>
      <c r="D124" s="76">
        <v>29</v>
      </c>
      <c r="E124" s="76">
        <v>35</v>
      </c>
      <c r="F124" s="76"/>
      <c r="G124" s="12"/>
      <c r="H124" s="12"/>
      <c r="I124" s="12"/>
      <c r="J124" s="12"/>
      <c r="K124" s="12"/>
      <c r="L124" s="147"/>
      <c r="M124" s="147"/>
    </row>
    <row r="125" spans="1:16">
      <c r="A125" s="247">
        <v>60</v>
      </c>
      <c r="B125" s="76">
        <v>16</v>
      </c>
      <c r="C125" s="76">
        <v>24</v>
      </c>
      <c r="D125" s="76">
        <v>28</v>
      </c>
      <c r="E125" s="76">
        <v>35</v>
      </c>
      <c r="F125" s="76"/>
      <c r="G125" s="12"/>
      <c r="H125" s="12"/>
      <c r="I125" s="12"/>
      <c r="J125" s="12"/>
      <c r="K125" s="12"/>
      <c r="L125" s="12"/>
      <c r="M125" s="12"/>
    </row>
    <row r="126" spans="1:16">
      <c r="A126" s="41"/>
      <c r="B126" s="76">
        <v>15</v>
      </c>
      <c r="C126" s="76">
        <v>20</v>
      </c>
      <c r="D126" s="76">
        <v>25</v>
      </c>
      <c r="E126" s="76">
        <v>33</v>
      </c>
      <c r="F126" s="76"/>
      <c r="G126" s="12"/>
      <c r="H126" s="12"/>
      <c r="I126" s="12"/>
      <c r="J126" s="12"/>
      <c r="K126" s="12"/>
      <c r="L126" s="147"/>
      <c r="M126" s="147"/>
    </row>
    <row r="127" spans="1:16">
      <c r="A127" s="163" t="s">
        <v>523</v>
      </c>
      <c r="B127" s="76">
        <v>29</v>
      </c>
      <c r="C127" s="76">
        <v>34</v>
      </c>
      <c r="D127" s="76">
        <v>38</v>
      </c>
      <c r="E127" s="76">
        <v>43</v>
      </c>
      <c r="F127" s="76"/>
      <c r="G127" s="12"/>
      <c r="H127" s="12"/>
      <c r="I127" s="12"/>
      <c r="J127" s="12"/>
      <c r="K127" s="12"/>
      <c r="L127" s="147"/>
      <c r="M127" s="147"/>
      <c r="N127" s="147"/>
      <c r="O127" s="147"/>
      <c r="P127" s="147"/>
    </row>
    <row r="128" spans="1:16">
      <c r="A128" s="163" t="s">
        <v>472</v>
      </c>
      <c r="B128" s="76">
        <v>28</v>
      </c>
      <c r="C128" s="76">
        <v>33</v>
      </c>
      <c r="D128" s="76">
        <v>37</v>
      </c>
      <c r="E128" s="76">
        <v>41</v>
      </c>
      <c r="F128" s="76"/>
      <c r="G128" s="12"/>
      <c r="H128" s="12"/>
      <c r="I128" s="12"/>
      <c r="J128" s="12"/>
      <c r="K128" s="12"/>
      <c r="L128" s="147"/>
      <c r="M128" s="147"/>
      <c r="N128" s="147"/>
      <c r="O128" s="147"/>
      <c r="P128" s="147"/>
    </row>
    <row r="129" spans="1:16">
      <c r="A129" s="163" t="s">
        <v>481</v>
      </c>
      <c r="B129" s="76">
        <v>27</v>
      </c>
      <c r="C129" s="76">
        <v>32</v>
      </c>
      <c r="D129" s="76">
        <v>36</v>
      </c>
      <c r="E129" s="76">
        <v>41</v>
      </c>
      <c r="F129" s="76"/>
      <c r="G129" s="12"/>
      <c r="H129" s="12"/>
      <c r="I129" s="12"/>
      <c r="J129" s="12"/>
      <c r="K129" s="12"/>
      <c r="L129" s="147"/>
      <c r="M129" s="147"/>
      <c r="N129" s="147"/>
      <c r="O129" s="147"/>
      <c r="P129" s="147"/>
    </row>
    <row r="130" spans="1:16">
      <c r="A130" s="163" t="s">
        <v>490</v>
      </c>
      <c r="B130" s="76">
        <v>25</v>
      </c>
      <c r="C130" s="76">
        <v>30</v>
      </c>
      <c r="D130" s="76">
        <v>34</v>
      </c>
      <c r="E130" s="76">
        <v>38</v>
      </c>
      <c r="F130" s="76"/>
      <c r="G130" s="12"/>
      <c r="H130" s="12"/>
      <c r="I130" s="12"/>
      <c r="J130" s="12"/>
      <c r="K130" s="12"/>
      <c r="L130" s="147"/>
      <c r="M130" s="147"/>
      <c r="N130" s="147"/>
      <c r="O130" s="147"/>
      <c r="P130" s="147"/>
    </row>
    <row r="131" spans="1:16">
      <c r="A131" s="163" t="s">
        <v>499</v>
      </c>
      <c r="B131" s="76">
        <v>25</v>
      </c>
      <c r="C131" s="76">
        <v>30</v>
      </c>
      <c r="D131" s="76">
        <v>33</v>
      </c>
      <c r="E131" s="76">
        <v>39</v>
      </c>
      <c r="F131" s="76"/>
      <c r="G131" s="12"/>
      <c r="H131" s="12"/>
      <c r="I131" s="12"/>
      <c r="J131" s="12"/>
      <c r="K131" s="12"/>
      <c r="L131" s="12"/>
      <c r="M131" s="12"/>
      <c r="N131" s="147"/>
      <c r="O131" s="147"/>
      <c r="P131" s="147"/>
    </row>
    <row r="132" spans="1:16">
      <c r="A132" s="163" t="s">
        <v>508</v>
      </c>
      <c r="B132" s="76">
        <v>23</v>
      </c>
      <c r="C132" s="76">
        <v>27</v>
      </c>
      <c r="D132" s="76">
        <v>31</v>
      </c>
      <c r="E132" s="76">
        <v>35</v>
      </c>
      <c r="F132" s="76"/>
      <c r="G132" s="12"/>
      <c r="H132" s="12"/>
      <c r="I132" s="12"/>
      <c r="J132" s="12"/>
      <c r="K132" s="12"/>
      <c r="L132" s="12"/>
      <c r="M132" s="12"/>
      <c r="N132" s="12"/>
      <c r="O132" s="12"/>
      <c r="P132" s="12"/>
    </row>
    <row r="133" spans="1:16">
      <c r="B133" s="147"/>
      <c r="C133" s="147"/>
      <c r="D133" s="12"/>
      <c r="E133" s="12"/>
      <c r="F133" s="12"/>
      <c r="G133" s="12"/>
      <c r="H133" s="12"/>
      <c r="I133" s="12"/>
      <c r="J133" s="12"/>
      <c r="K133" s="12"/>
      <c r="L133" s="12"/>
      <c r="M133" s="12"/>
      <c r="N133" s="12"/>
      <c r="O133" s="12"/>
      <c r="P133" s="12"/>
    </row>
    <row r="134" spans="1:16">
      <c r="B134" s="76">
        <v>0</v>
      </c>
      <c r="C134" s="76">
        <v>0</v>
      </c>
      <c r="D134" s="76">
        <v>0</v>
      </c>
      <c r="E134" s="76">
        <v>0</v>
      </c>
      <c r="F134" s="76">
        <v>0</v>
      </c>
      <c r="G134" s="76">
        <v>0</v>
      </c>
      <c r="H134" s="76">
        <v>0</v>
      </c>
      <c r="I134" s="76">
        <v>0</v>
      </c>
      <c r="J134" s="76">
        <v>0</v>
      </c>
      <c r="K134" s="76">
        <v>0</v>
      </c>
      <c r="L134" s="76">
        <v>0</v>
      </c>
      <c r="M134" s="76">
        <v>0</v>
      </c>
      <c r="N134" s="76">
        <v>0</v>
      </c>
      <c r="O134" s="76">
        <v>0</v>
      </c>
      <c r="P134" s="76">
        <v>0</v>
      </c>
    </row>
    <row r="135" spans="1:16">
      <c r="A135" s="34" t="str">
        <f t="shared" ref="A135:P135" si="36">A115</f>
        <v>Ruim</v>
      </c>
      <c r="B135" s="250">
        <f t="shared" ca="1" si="36"/>
        <v>18</v>
      </c>
      <c r="C135" s="250">
        <f t="shared" ca="1" si="36"/>
        <v>16</v>
      </c>
      <c r="D135" s="250">
        <f t="shared" ca="1" si="36"/>
        <v>16</v>
      </c>
      <c r="E135" s="250">
        <f t="shared" ca="1" si="36"/>
        <v>16</v>
      </c>
      <c r="F135" s="250">
        <f t="shared" ca="1" si="36"/>
        <v>16</v>
      </c>
      <c r="G135" s="250">
        <f t="shared" ca="1" si="36"/>
        <v>16</v>
      </c>
      <c r="H135" s="250">
        <f t="shared" ca="1" si="36"/>
        <v>16</v>
      </c>
      <c r="I135" s="250">
        <f t="shared" ca="1" si="36"/>
        <v>16</v>
      </c>
      <c r="J135" s="250">
        <f t="shared" ca="1" si="36"/>
        <v>16</v>
      </c>
      <c r="K135" s="250">
        <f t="shared" ca="1" si="36"/>
        <v>16</v>
      </c>
      <c r="L135" s="250">
        <f t="shared" ca="1" si="36"/>
        <v>16</v>
      </c>
      <c r="M135" s="250">
        <f t="shared" ca="1" si="36"/>
        <v>16</v>
      </c>
      <c r="N135" s="250" t="e">
        <f t="shared" ca="1" si="36"/>
        <v>#N/A</v>
      </c>
      <c r="O135" s="250" t="e">
        <f t="shared" ca="1" si="36"/>
        <v>#N/A</v>
      </c>
      <c r="P135" s="250" t="e">
        <f t="shared" ca="1" si="36"/>
        <v>#N/A</v>
      </c>
    </row>
    <row r="136" spans="1:16">
      <c r="A136" s="34" t="str">
        <f t="shared" ref="A136:P136" si="37">A114</f>
        <v>Abaixo da Média</v>
      </c>
      <c r="B136" s="149">
        <f t="shared" ca="1" si="37"/>
        <v>24</v>
      </c>
      <c r="C136" s="149">
        <f t="shared" ca="1" si="37"/>
        <v>24</v>
      </c>
      <c r="D136" s="149">
        <f t="shared" ca="1" si="37"/>
        <v>24</v>
      </c>
      <c r="E136" s="149">
        <f t="shared" ca="1" si="37"/>
        <v>24</v>
      </c>
      <c r="F136" s="149">
        <f t="shared" ca="1" si="37"/>
        <v>24</v>
      </c>
      <c r="G136" s="149">
        <f t="shared" ca="1" si="37"/>
        <v>24</v>
      </c>
      <c r="H136" s="149">
        <f t="shared" ca="1" si="37"/>
        <v>24</v>
      </c>
      <c r="I136" s="149">
        <f t="shared" ca="1" si="37"/>
        <v>24</v>
      </c>
      <c r="J136" s="149">
        <f t="shared" ca="1" si="37"/>
        <v>24</v>
      </c>
      <c r="K136" s="149">
        <f t="shared" ca="1" si="37"/>
        <v>24</v>
      </c>
      <c r="L136" s="149">
        <f t="shared" ca="1" si="37"/>
        <v>24</v>
      </c>
      <c r="M136" s="149">
        <f t="shared" ca="1" si="37"/>
        <v>24</v>
      </c>
      <c r="N136" s="149" t="e">
        <f t="shared" ca="1" si="37"/>
        <v>#N/A</v>
      </c>
      <c r="O136" s="149" t="e">
        <f t="shared" ca="1" si="37"/>
        <v>#N/A</v>
      </c>
      <c r="P136" s="149" t="e">
        <f t="shared" ca="1" si="37"/>
        <v>#N/A</v>
      </c>
    </row>
    <row r="137" spans="1:16">
      <c r="A137" s="34" t="str">
        <f t="shared" ref="A137:P137" si="38">A113</f>
        <v>Bom</v>
      </c>
      <c r="B137" s="149">
        <f t="shared" ca="1" si="38"/>
        <v>29</v>
      </c>
      <c r="C137" s="149">
        <f t="shared" ca="1" si="38"/>
        <v>28</v>
      </c>
      <c r="D137" s="149">
        <f t="shared" ca="1" si="38"/>
        <v>28</v>
      </c>
      <c r="E137" s="149">
        <f t="shared" ca="1" si="38"/>
        <v>28</v>
      </c>
      <c r="F137" s="149">
        <f t="shared" ca="1" si="38"/>
        <v>28</v>
      </c>
      <c r="G137" s="149">
        <f t="shared" ca="1" si="38"/>
        <v>28</v>
      </c>
      <c r="H137" s="149">
        <f t="shared" ca="1" si="38"/>
        <v>28</v>
      </c>
      <c r="I137" s="149">
        <f t="shared" ca="1" si="38"/>
        <v>28</v>
      </c>
      <c r="J137" s="149">
        <f t="shared" ca="1" si="38"/>
        <v>28</v>
      </c>
      <c r="K137" s="149">
        <f t="shared" ca="1" si="38"/>
        <v>28</v>
      </c>
      <c r="L137" s="149">
        <f t="shared" ca="1" si="38"/>
        <v>28</v>
      </c>
      <c r="M137" s="149">
        <f t="shared" ca="1" si="38"/>
        <v>28</v>
      </c>
      <c r="N137" s="149" t="e">
        <f t="shared" ca="1" si="38"/>
        <v>#N/A</v>
      </c>
      <c r="O137" s="149" t="e">
        <f t="shared" ca="1" si="38"/>
        <v>#N/A</v>
      </c>
      <c r="P137" s="149" t="e">
        <f t="shared" ca="1" si="38"/>
        <v>#N/A</v>
      </c>
    </row>
    <row r="138" spans="1:16">
      <c r="A138" s="34" t="str">
        <f t="shared" ref="A138:P138" si="39">A112</f>
        <v>Acima da Média</v>
      </c>
      <c r="B138" s="149">
        <f t="shared" ca="1" si="39"/>
        <v>35</v>
      </c>
      <c r="C138" s="149">
        <f t="shared" ca="1" si="39"/>
        <v>35</v>
      </c>
      <c r="D138" s="149">
        <f t="shared" ca="1" si="39"/>
        <v>35</v>
      </c>
      <c r="E138" s="149">
        <f t="shared" ca="1" si="39"/>
        <v>35</v>
      </c>
      <c r="F138" s="149">
        <f t="shared" ca="1" si="39"/>
        <v>35</v>
      </c>
      <c r="G138" s="149">
        <f t="shared" ca="1" si="39"/>
        <v>35</v>
      </c>
      <c r="H138" s="149">
        <f t="shared" ca="1" si="39"/>
        <v>35</v>
      </c>
      <c r="I138" s="149">
        <f t="shared" ca="1" si="39"/>
        <v>35</v>
      </c>
      <c r="J138" s="149">
        <f t="shared" ca="1" si="39"/>
        <v>35</v>
      </c>
      <c r="K138" s="149">
        <f t="shared" ca="1" si="39"/>
        <v>35</v>
      </c>
      <c r="L138" s="149">
        <f t="shared" ca="1" si="39"/>
        <v>35</v>
      </c>
      <c r="M138" s="149">
        <f t="shared" ca="1" si="39"/>
        <v>35</v>
      </c>
      <c r="N138" s="149" t="e">
        <f t="shared" ca="1" si="39"/>
        <v>#N/A</v>
      </c>
      <c r="O138" s="149" t="e">
        <f t="shared" ca="1" si="39"/>
        <v>#N/A</v>
      </c>
      <c r="P138" s="149" t="e">
        <f t="shared" ca="1" si="39"/>
        <v>#N/A</v>
      </c>
    </row>
    <row r="139" spans="1:16">
      <c r="A139" s="34" t="str">
        <f t="shared" ref="A139:P139" si="40">A111</f>
        <v>Excelente</v>
      </c>
      <c r="B139" s="149">
        <f t="shared" ca="1" si="40"/>
        <v>38.5</v>
      </c>
      <c r="C139" s="149">
        <f t="shared" ca="1" si="40"/>
        <v>38.5</v>
      </c>
      <c r="D139" s="149">
        <f t="shared" ca="1" si="40"/>
        <v>38.5</v>
      </c>
      <c r="E139" s="149">
        <f t="shared" ca="1" si="40"/>
        <v>38.5</v>
      </c>
      <c r="F139" s="149">
        <f t="shared" ca="1" si="40"/>
        <v>38.5</v>
      </c>
      <c r="G139" s="149">
        <f t="shared" ca="1" si="40"/>
        <v>38.5</v>
      </c>
      <c r="H139" s="149">
        <f t="shared" ca="1" si="40"/>
        <v>38.5</v>
      </c>
      <c r="I139" s="149">
        <f t="shared" ca="1" si="40"/>
        <v>38.5</v>
      </c>
      <c r="J139" s="149">
        <f t="shared" ca="1" si="40"/>
        <v>38.5</v>
      </c>
      <c r="K139" s="149">
        <f t="shared" ca="1" si="40"/>
        <v>38.5</v>
      </c>
      <c r="L139" s="149">
        <f t="shared" ca="1" si="40"/>
        <v>38.5</v>
      </c>
      <c r="M139" s="149">
        <f t="shared" ca="1" si="40"/>
        <v>38.5</v>
      </c>
      <c r="N139" s="149">
        <f t="shared" ca="1" si="40"/>
        <v>38.5</v>
      </c>
      <c r="O139" s="149">
        <f t="shared" ca="1" si="40"/>
        <v>38.5</v>
      </c>
      <c r="P139" s="149">
        <f t="shared" ca="1" si="40"/>
        <v>38.5</v>
      </c>
    </row>
    <row r="140" spans="1:16">
      <c r="B140" s="149"/>
      <c r="C140" s="149"/>
      <c r="D140" s="149"/>
      <c r="E140" s="149"/>
      <c r="F140" s="149"/>
      <c r="G140" s="149"/>
      <c r="H140" s="149"/>
      <c r="I140" s="149"/>
      <c r="J140" s="149"/>
      <c r="K140" s="149"/>
      <c r="L140" s="149"/>
      <c r="M140" s="149"/>
      <c r="N140" s="149"/>
      <c r="O140" s="149"/>
      <c r="P140" s="149"/>
    </row>
    <row r="141" spans="1:16">
      <c r="B141" s="149"/>
      <c r="C141" s="149"/>
      <c r="D141" s="149"/>
      <c r="E141" s="149"/>
      <c r="F141" s="149"/>
      <c r="G141" s="149"/>
      <c r="H141" s="149"/>
      <c r="I141" s="149"/>
      <c r="J141" s="149"/>
      <c r="K141" s="149"/>
      <c r="L141" s="149"/>
      <c r="M141" s="149"/>
      <c r="N141" s="149"/>
      <c r="O141" s="149"/>
      <c r="P141" s="149"/>
    </row>
    <row r="142" spans="1:16">
      <c r="A142" s="34" t="s">
        <v>971</v>
      </c>
      <c r="B142" s="147">
        <f ca="1">'Meta calórica'!F8</f>
        <v>63.86825951586416</v>
      </c>
      <c r="D142" s="149"/>
      <c r="E142" s="149"/>
      <c r="F142" s="149"/>
      <c r="G142" s="149"/>
      <c r="H142" s="149"/>
      <c r="I142" s="149"/>
      <c r="J142" s="149"/>
      <c r="K142" s="149"/>
      <c r="L142" s="149"/>
      <c r="M142" s="149"/>
      <c r="N142" s="149"/>
      <c r="O142" s="149"/>
      <c r="P142" s="149"/>
    </row>
    <row r="143" spans="1:16">
      <c r="A143" s="34" t="s">
        <v>972</v>
      </c>
      <c r="B143" s="147">
        <f ca="1">'Meta calórica'!F7</f>
        <v>4.7317404841358313</v>
      </c>
      <c r="D143" s="149"/>
      <c r="E143" s="149"/>
      <c r="F143" s="149"/>
      <c r="G143" s="149"/>
      <c r="H143" s="149"/>
      <c r="I143" s="149"/>
      <c r="J143" s="149"/>
      <c r="K143" s="149"/>
      <c r="L143" s="149"/>
      <c r="M143" s="149"/>
      <c r="N143" s="149"/>
      <c r="O143" s="149"/>
      <c r="P143" s="149"/>
    </row>
    <row r="144" spans="1:16">
      <c r="B144" s="147"/>
      <c r="D144" s="149"/>
      <c r="E144" s="149"/>
      <c r="F144" s="149"/>
      <c r="G144" s="149"/>
      <c r="H144" s="149"/>
      <c r="I144" s="149"/>
      <c r="J144" s="149"/>
      <c r="K144" s="149"/>
      <c r="L144" s="149"/>
      <c r="M144" s="149"/>
      <c r="N144" s="149"/>
      <c r="O144" s="149"/>
      <c r="P144" s="149"/>
    </row>
    <row r="145" spans="1:16">
      <c r="C145" s="149"/>
      <c r="D145" s="149"/>
      <c r="E145" s="149"/>
      <c r="F145" s="149"/>
      <c r="G145" s="149"/>
      <c r="H145" s="149"/>
      <c r="I145" s="149"/>
      <c r="J145" s="149"/>
      <c r="K145" s="149"/>
      <c r="L145" s="149"/>
      <c r="M145" s="149"/>
      <c r="N145" s="149"/>
      <c r="O145" s="149"/>
      <c r="P145" s="149"/>
    </row>
    <row r="146" spans="1:16">
      <c r="A146" s="34" t="s">
        <v>973</v>
      </c>
      <c r="B146" s="147">
        <f>('Meta calórica'!I8+'Meta calórica'!L8)/2</f>
        <v>64</v>
      </c>
      <c r="C146" s="149"/>
      <c r="D146" s="149"/>
      <c r="E146" s="149"/>
      <c r="F146" s="149"/>
      <c r="G146" s="149"/>
      <c r="H146" s="149"/>
      <c r="I146" s="149"/>
      <c r="J146" s="149"/>
      <c r="K146" s="149"/>
      <c r="L146" s="149"/>
      <c r="M146" s="149"/>
      <c r="N146" s="149"/>
      <c r="O146" s="149"/>
      <c r="P146" s="149"/>
    </row>
    <row r="147" spans="1:16">
      <c r="A147" s="34" t="s">
        <v>974</v>
      </c>
      <c r="B147" s="147">
        <f>('Meta calórica'!I7+'Meta calórica'!L7)/2</f>
        <v>5.120967741935484</v>
      </c>
      <c r="C147" s="149"/>
      <c r="D147" s="149"/>
      <c r="E147" s="149"/>
      <c r="F147" s="149"/>
      <c r="G147" s="149"/>
      <c r="H147" s="149"/>
      <c r="I147" s="149"/>
      <c r="J147" s="149"/>
      <c r="K147" s="149"/>
      <c r="L147" s="149"/>
      <c r="M147" s="149"/>
      <c r="N147" s="149"/>
      <c r="O147" s="149"/>
      <c r="P147" s="149"/>
    </row>
    <row r="148" spans="1:16">
      <c r="B148" s="149"/>
      <c r="C148" s="149"/>
      <c r="D148" s="149"/>
      <c r="E148" s="149"/>
      <c r="F148" s="149"/>
      <c r="G148" s="149"/>
      <c r="H148" s="149"/>
      <c r="I148" s="149"/>
      <c r="J148" s="149"/>
      <c r="K148" s="149"/>
      <c r="L148" s="149"/>
      <c r="M148" s="149"/>
      <c r="N148" s="149"/>
      <c r="O148" s="149"/>
      <c r="P148" s="149"/>
    </row>
    <row r="149" spans="1:16">
      <c r="B149" s="147">
        <f>'Meta calórica'!F41</f>
        <v>0</v>
      </c>
      <c r="C149" s="149"/>
      <c r="D149" s="149"/>
      <c r="E149" s="149"/>
      <c r="F149" s="149"/>
      <c r="G149" s="149"/>
      <c r="H149" s="149"/>
      <c r="I149" s="149"/>
      <c r="J149" s="149"/>
      <c r="K149" s="149"/>
      <c r="L149" s="149"/>
      <c r="M149" s="149"/>
      <c r="N149" s="149"/>
      <c r="O149" s="149"/>
      <c r="P149" s="149"/>
    </row>
    <row r="150" spans="1:16">
      <c r="A150" s="34" t="str">
        <f ca="1">IF(B142&lt;B146,"Massa magra atual", "Massa magra após meta")</f>
        <v>Massa magra atual</v>
      </c>
      <c r="B150" s="147">
        <f ca="1">MIN(B142,B146)</f>
        <v>63.86825951586416</v>
      </c>
      <c r="C150" s="149"/>
      <c r="D150" s="149"/>
      <c r="E150" s="149"/>
      <c r="F150" s="149"/>
      <c r="G150" s="149"/>
      <c r="H150" s="149"/>
      <c r="I150" s="149"/>
      <c r="J150" s="149"/>
      <c r="K150" s="149"/>
      <c r="L150" s="149"/>
      <c r="M150" s="149"/>
      <c r="N150" s="149"/>
      <c r="O150" s="149"/>
      <c r="P150" s="149"/>
    </row>
    <row r="151" spans="1:16">
      <c r="A151" s="34" t="str">
        <f ca="1">IF(B142&lt;B146,"Meta de aumento de massa magra", "Perda estimada de massa magra")</f>
        <v>Meta de aumento de massa magra</v>
      </c>
      <c r="B151" s="147">
        <f ca="1">MAX(B142,B146)-B150</f>
        <v>0.13174048413583961</v>
      </c>
      <c r="C151" s="149"/>
      <c r="D151" s="149"/>
      <c r="E151" s="149"/>
      <c r="F151" s="149"/>
      <c r="G151" s="149"/>
      <c r="H151" s="149"/>
      <c r="I151" s="149"/>
      <c r="J151" s="149"/>
      <c r="K151" s="149"/>
      <c r="L151" s="149"/>
      <c r="M151" s="149"/>
      <c r="N151" s="149"/>
      <c r="O151" s="149"/>
      <c r="P151" s="149"/>
    </row>
    <row r="152" spans="1:16">
      <c r="A152" s="34" t="str">
        <f ca="1">IF(B143&lt;B147,"Gordura atual", "Meta de gordura")</f>
        <v>Gordura atual</v>
      </c>
      <c r="B152" s="147">
        <f ca="1">MIN(B143,B147)</f>
        <v>4.7317404841358313</v>
      </c>
      <c r="C152" s="149"/>
      <c r="D152" s="149"/>
      <c r="E152" s="149"/>
      <c r="F152" s="149"/>
      <c r="G152" s="149"/>
      <c r="H152" s="149"/>
      <c r="I152" s="149"/>
      <c r="J152" s="149"/>
      <c r="K152" s="149"/>
      <c r="L152" s="149"/>
      <c r="M152" s="149"/>
      <c r="N152" s="149"/>
      <c r="O152" s="149"/>
      <c r="P152" s="149"/>
    </row>
    <row r="153" spans="1:16">
      <c r="A153" s="34" t="str">
        <f ca="1">IF(B143&lt;B147,"Ganho de gordura estimado", "Meta de redução de gordura")</f>
        <v>Ganho de gordura estimado</v>
      </c>
      <c r="B153" s="147">
        <f ca="1">MAX(B143,B147)-B152</f>
        <v>0.38922725779965273</v>
      </c>
      <c r="C153" s="149"/>
      <c r="D153" s="149"/>
      <c r="E153" s="149"/>
      <c r="F153" s="149"/>
      <c r="G153" s="149"/>
      <c r="H153" s="149"/>
      <c r="I153" s="149"/>
      <c r="J153" s="149"/>
      <c r="K153" s="149"/>
      <c r="L153" s="149"/>
      <c r="M153" s="149"/>
      <c r="N153" s="149"/>
      <c r="O153" s="149"/>
      <c r="P153" s="149"/>
    </row>
    <row r="154" spans="1:16">
      <c r="B154" s="149"/>
      <c r="C154" s="149"/>
      <c r="D154" s="149"/>
      <c r="E154" s="149"/>
      <c r="F154" s="149"/>
      <c r="G154" s="149"/>
      <c r="H154" s="149"/>
      <c r="I154" s="149"/>
      <c r="J154" s="149"/>
      <c r="K154" s="149"/>
      <c r="L154" s="149"/>
      <c r="M154" s="149"/>
      <c r="N154" s="149"/>
      <c r="O154" s="149"/>
      <c r="P154" s="149"/>
    </row>
    <row r="155" spans="1:16">
      <c r="B155" s="149"/>
      <c r="C155" s="149"/>
      <c r="D155" s="149"/>
      <c r="E155" s="149"/>
      <c r="F155" s="149"/>
      <c r="G155" s="149"/>
      <c r="H155" s="149"/>
      <c r="I155" s="149"/>
      <c r="J155" s="149"/>
      <c r="K155" s="149"/>
      <c r="L155" s="149"/>
      <c r="M155" s="149"/>
      <c r="N155" s="149"/>
      <c r="O155" s="149"/>
      <c r="P155" s="149"/>
    </row>
    <row r="156" spans="1:16">
      <c r="B156" s="12" t="str">
        <f t="shared" ref="B156:P156" si="41">B$1</f>
        <v>Av1</v>
      </c>
      <c r="C156" s="12" t="str">
        <f t="shared" si="41"/>
        <v>Av2</v>
      </c>
      <c r="D156" s="12" t="str">
        <f t="shared" si="41"/>
        <v>Av3</v>
      </c>
      <c r="E156" s="12" t="str">
        <f t="shared" si="41"/>
        <v>Av4</v>
      </c>
      <c r="F156" s="12" t="str">
        <f t="shared" si="41"/>
        <v>Av5</v>
      </c>
      <c r="G156" s="12" t="str">
        <f t="shared" si="41"/>
        <v>Av6</v>
      </c>
      <c r="H156" s="12" t="str">
        <f t="shared" si="41"/>
        <v>Av7</v>
      </c>
      <c r="I156" s="12" t="str">
        <f t="shared" si="41"/>
        <v>Av8</v>
      </c>
      <c r="J156" s="12" t="str">
        <f t="shared" si="41"/>
        <v>Av9</v>
      </c>
      <c r="K156" s="12" t="str">
        <f t="shared" si="41"/>
        <v>Av10</v>
      </c>
      <c r="L156" s="12" t="str">
        <f t="shared" si="41"/>
        <v>Av11</v>
      </c>
      <c r="M156" s="12" t="str">
        <f t="shared" si="41"/>
        <v>Av12</v>
      </c>
      <c r="N156" s="12" t="str">
        <f t="shared" si="41"/>
        <v>Av13</v>
      </c>
      <c r="O156" s="12" t="str">
        <f t="shared" si="41"/>
        <v>Av14</v>
      </c>
      <c r="P156" s="12" t="str">
        <f t="shared" si="41"/>
        <v>Av15</v>
      </c>
    </row>
    <row r="157" spans="1:16">
      <c r="A157" s="251" t="str">
        <f>F166</f>
        <v>Superior</v>
      </c>
      <c r="B157" s="148">
        <f ca="1">MAX(MAX($B$162:$P$162)*1.05,$B$158*1.1)</f>
        <v>1.1000000000000001</v>
      </c>
      <c r="C157" s="148">
        <f t="shared" ref="C157:P157" ca="1" si="42">IF(C156="","",$B$157)</f>
        <v>1.1000000000000001</v>
      </c>
      <c r="D157" s="148">
        <f t="shared" ca="1" si="42"/>
        <v>1.1000000000000001</v>
      </c>
      <c r="E157" s="148">
        <f t="shared" ca="1" si="42"/>
        <v>1.1000000000000001</v>
      </c>
      <c r="F157" s="148">
        <f t="shared" ca="1" si="42"/>
        <v>1.1000000000000001</v>
      </c>
      <c r="G157" s="148">
        <f t="shared" ca="1" si="42"/>
        <v>1.1000000000000001</v>
      </c>
      <c r="H157" s="148">
        <f t="shared" ca="1" si="42"/>
        <v>1.1000000000000001</v>
      </c>
      <c r="I157" s="148">
        <f t="shared" ca="1" si="42"/>
        <v>1.1000000000000001</v>
      </c>
      <c r="J157" s="148">
        <f t="shared" ca="1" si="42"/>
        <v>1.1000000000000001</v>
      </c>
      <c r="K157" s="148">
        <f t="shared" ca="1" si="42"/>
        <v>1.1000000000000001</v>
      </c>
      <c r="L157" s="148">
        <f t="shared" ca="1" si="42"/>
        <v>1.1000000000000001</v>
      </c>
      <c r="M157" s="148">
        <f t="shared" ca="1" si="42"/>
        <v>1.1000000000000001</v>
      </c>
      <c r="N157" s="148">
        <f t="shared" ca="1" si="42"/>
        <v>1.1000000000000001</v>
      </c>
      <c r="O157" s="148">
        <f t="shared" ca="1" si="42"/>
        <v>1.1000000000000001</v>
      </c>
      <c r="P157" s="148">
        <f t="shared" ca="1" si="42"/>
        <v>1.1000000000000001</v>
      </c>
    </row>
    <row r="158" spans="1:16">
      <c r="A158" s="251" t="str">
        <f>E166</f>
        <v>Excelente</v>
      </c>
      <c r="B158" s="148">
        <f t="shared" ref="B158:P158" ca="1" si="43">OFFSET($E$166,B$87+$A$78,)</f>
        <v>1</v>
      </c>
      <c r="C158" s="148">
        <f t="shared" ca="1" si="43"/>
        <v>0.9</v>
      </c>
      <c r="D158" s="148">
        <f t="shared" ca="1" si="43"/>
        <v>0.9</v>
      </c>
      <c r="E158" s="148">
        <f t="shared" ca="1" si="43"/>
        <v>0.9</v>
      </c>
      <c r="F158" s="148">
        <f t="shared" ca="1" si="43"/>
        <v>0.9</v>
      </c>
      <c r="G158" s="148">
        <f t="shared" ca="1" si="43"/>
        <v>0.9</v>
      </c>
      <c r="H158" s="148">
        <f t="shared" ca="1" si="43"/>
        <v>0.9</v>
      </c>
      <c r="I158" s="148">
        <f t="shared" ca="1" si="43"/>
        <v>0.9</v>
      </c>
      <c r="J158" s="148">
        <f t="shared" ca="1" si="43"/>
        <v>0.9</v>
      </c>
      <c r="K158" s="148">
        <f t="shared" ca="1" si="43"/>
        <v>0.9</v>
      </c>
      <c r="L158" s="148">
        <f t="shared" ca="1" si="43"/>
        <v>0.9</v>
      </c>
      <c r="M158" s="148">
        <f t="shared" ca="1" si="43"/>
        <v>0.9</v>
      </c>
      <c r="N158" s="148" t="e">
        <f t="shared" ca="1" si="43"/>
        <v>#N/A</v>
      </c>
      <c r="O158" s="148" t="e">
        <f t="shared" ca="1" si="43"/>
        <v>#N/A</v>
      </c>
      <c r="P158" s="148" t="e">
        <f t="shared" ca="1" si="43"/>
        <v>#N/A</v>
      </c>
    </row>
    <row r="159" spans="1:16">
      <c r="A159" s="251" t="str">
        <f>D166</f>
        <v>Boa</v>
      </c>
      <c r="B159" s="148">
        <f t="shared" ref="B159:P159" ca="1" si="44">OFFSET($D$166,B$87+$A$78,)</f>
        <v>0.89</v>
      </c>
      <c r="C159" s="148">
        <f t="shared" ca="1" si="44"/>
        <v>0.8</v>
      </c>
      <c r="D159" s="148">
        <f t="shared" ca="1" si="44"/>
        <v>0.8</v>
      </c>
      <c r="E159" s="148">
        <f t="shared" ca="1" si="44"/>
        <v>0.8</v>
      </c>
      <c r="F159" s="148">
        <f t="shared" ca="1" si="44"/>
        <v>0.8</v>
      </c>
      <c r="G159" s="148">
        <f t="shared" ca="1" si="44"/>
        <v>0.8</v>
      </c>
      <c r="H159" s="148">
        <f t="shared" ca="1" si="44"/>
        <v>0.8</v>
      </c>
      <c r="I159" s="148">
        <f t="shared" ca="1" si="44"/>
        <v>0.8</v>
      </c>
      <c r="J159" s="148">
        <f t="shared" ca="1" si="44"/>
        <v>0.8</v>
      </c>
      <c r="K159" s="148">
        <f t="shared" ca="1" si="44"/>
        <v>0.8</v>
      </c>
      <c r="L159" s="148">
        <f t="shared" ca="1" si="44"/>
        <v>0.8</v>
      </c>
      <c r="M159" s="148">
        <f t="shared" ca="1" si="44"/>
        <v>0.8</v>
      </c>
      <c r="N159" s="148" t="e">
        <f t="shared" ca="1" si="44"/>
        <v>#N/A</v>
      </c>
      <c r="O159" s="148" t="e">
        <f t="shared" ca="1" si="44"/>
        <v>#N/A</v>
      </c>
      <c r="P159" s="148" t="e">
        <f t="shared" ca="1" si="44"/>
        <v>#N/A</v>
      </c>
    </row>
    <row r="160" spans="1:16">
      <c r="A160" s="251" t="str">
        <f>C166</f>
        <v>Média</v>
      </c>
      <c r="B160" s="148">
        <f t="shared" ref="B160:P160" ca="1" si="45">OFFSET($C$166,B$87+$A$78,)</f>
        <v>0.81</v>
      </c>
      <c r="C160" s="148">
        <f t="shared" ca="1" si="45"/>
        <v>0.72</v>
      </c>
      <c r="D160" s="148">
        <f t="shared" ca="1" si="45"/>
        <v>0.72</v>
      </c>
      <c r="E160" s="148">
        <f t="shared" ca="1" si="45"/>
        <v>0.72</v>
      </c>
      <c r="F160" s="148">
        <f t="shared" ca="1" si="45"/>
        <v>0.72</v>
      </c>
      <c r="G160" s="148">
        <f t="shared" ca="1" si="45"/>
        <v>0.72</v>
      </c>
      <c r="H160" s="148">
        <f t="shared" ca="1" si="45"/>
        <v>0.72</v>
      </c>
      <c r="I160" s="148">
        <f t="shared" ca="1" si="45"/>
        <v>0.72</v>
      </c>
      <c r="J160" s="148">
        <f t="shared" ca="1" si="45"/>
        <v>0.72</v>
      </c>
      <c r="K160" s="148">
        <f t="shared" ca="1" si="45"/>
        <v>0.72</v>
      </c>
      <c r="L160" s="148">
        <f t="shared" ca="1" si="45"/>
        <v>0.72</v>
      </c>
      <c r="M160" s="148">
        <f t="shared" ca="1" si="45"/>
        <v>0.72</v>
      </c>
      <c r="N160" s="148" t="e">
        <f t="shared" ca="1" si="45"/>
        <v>#N/A</v>
      </c>
      <c r="O160" s="148" t="e">
        <f t="shared" ca="1" si="45"/>
        <v>#N/A</v>
      </c>
      <c r="P160" s="148" t="e">
        <f t="shared" ca="1" si="45"/>
        <v>#N/A</v>
      </c>
    </row>
    <row r="161" spans="1:16">
      <c r="A161" s="251" t="str">
        <f>B166</f>
        <v>Fraca</v>
      </c>
      <c r="B161" s="148">
        <f t="shared" ref="B161:P161" ca="1" si="46">OFFSET($B$166,B$87+$A$78,)</f>
        <v>0.73</v>
      </c>
      <c r="C161" s="148">
        <f t="shared" ca="1" si="46"/>
        <v>0.64</v>
      </c>
      <c r="D161" s="148">
        <f t="shared" ca="1" si="46"/>
        <v>0.64</v>
      </c>
      <c r="E161" s="148">
        <f t="shared" ca="1" si="46"/>
        <v>0.64</v>
      </c>
      <c r="F161" s="148">
        <f t="shared" ca="1" si="46"/>
        <v>0.64</v>
      </c>
      <c r="G161" s="148">
        <f t="shared" ca="1" si="46"/>
        <v>0.64</v>
      </c>
      <c r="H161" s="148">
        <f t="shared" ca="1" si="46"/>
        <v>0.64</v>
      </c>
      <c r="I161" s="148">
        <f t="shared" ca="1" si="46"/>
        <v>0.64</v>
      </c>
      <c r="J161" s="148">
        <f t="shared" ca="1" si="46"/>
        <v>0.64</v>
      </c>
      <c r="K161" s="148">
        <f t="shared" ca="1" si="46"/>
        <v>0.64</v>
      </c>
      <c r="L161" s="148">
        <f t="shared" ca="1" si="46"/>
        <v>0.64</v>
      </c>
      <c r="M161" s="148">
        <f t="shared" ca="1" si="46"/>
        <v>0.64</v>
      </c>
      <c r="N161" s="148" t="e">
        <f t="shared" ca="1" si="46"/>
        <v>#N/A</v>
      </c>
      <c r="O161" s="148" t="e">
        <f t="shared" ca="1" si="46"/>
        <v>#N/A</v>
      </c>
      <c r="P161" s="148" t="e">
        <f t="shared" ca="1" si="46"/>
        <v>#N/A</v>
      </c>
    </row>
    <row r="162" spans="1:16">
      <c r="A162" s="34" t="s">
        <v>975</v>
      </c>
      <c r="B162" s="148">
        <f>'BD tratado'!E130</f>
        <v>0</v>
      </c>
      <c r="C162" s="148">
        <f>'BD tratado'!F130</f>
        <v>0</v>
      </c>
      <c r="D162" s="148">
        <f>'BD tratado'!G130</f>
        <v>0</v>
      </c>
      <c r="E162" s="148">
        <f>'BD tratado'!H130</f>
        <v>0</v>
      </c>
      <c r="F162" s="148">
        <f>'BD tratado'!I130</f>
        <v>0</v>
      </c>
      <c r="G162" s="148">
        <f>'BD tratado'!J130</f>
        <v>0</v>
      </c>
      <c r="H162" s="148">
        <f>'BD tratado'!K130</f>
        <v>0</v>
      </c>
      <c r="I162" s="148">
        <f>'BD tratado'!L130</f>
        <v>0</v>
      </c>
      <c r="J162" s="148">
        <f>'BD tratado'!M130</f>
        <v>0</v>
      </c>
      <c r="K162" s="148">
        <f>'BD tratado'!N130</f>
        <v>0</v>
      </c>
      <c r="L162" s="148">
        <f>'BD tratado'!O130</f>
        <v>0</v>
      </c>
      <c r="M162" s="148">
        <f>'BD tratado'!P130</f>
        <v>0</v>
      </c>
      <c r="N162" s="148">
        <f>'BD tratado'!Q130</f>
        <v>0</v>
      </c>
      <c r="O162" s="148">
        <f>'BD tratado'!R130</f>
        <v>0</v>
      </c>
      <c r="P162" s="148">
        <f>'BD tratado'!S130</f>
        <v>0</v>
      </c>
    </row>
    <row r="163" spans="1:16">
      <c r="B163" s="149"/>
      <c r="C163" s="149"/>
      <c r="D163" s="149"/>
      <c r="E163" s="149"/>
      <c r="F163" s="149"/>
      <c r="G163" s="149"/>
      <c r="H163" s="149"/>
      <c r="I163" s="149"/>
      <c r="J163" s="149"/>
      <c r="K163" s="149"/>
      <c r="L163" s="149"/>
      <c r="M163" s="149"/>
      <c r="N163" s="149"/>
      <c r="O163" s="149"/>
      <c r="P163" s="149"/>
    </row>
    <row r="164" spans="1:16">
      <c r="A164" s="34" t="s">
        <v>976</v>
      </c>
      <c r="B164" s="149" t="str">
        <f t="shared" ref="B164:P164" ca="1" si="47">OFFSET($A$180,MATCH(B162,$B$180:$B$185,1),)</f>
        <v>Fraca</v>
      </c>
      <c r="C164" s="149" t="str">
        <f t="shared" ca="1" si="47"/>
        <v>Fraca</v>
      </c>
      <c r="D164" s="149" t="str">
        <f t="shared" ca="1" si="47"/>
        <v>Fraca</v>
      </c>
      <c r="E164" s="149" t="str">
        <f t="shared" ca="1" si="47"/>
        <v>Fraca</v>
      </c>
      <c r="F164" s="149" t="str">
        <f t="shared" ca="1" si="47"/>
        <v>Fraca</v>
      </c>
      <c r="G164" s="149" t="str">
        <f t="shared" ca="1" si="47"/>
        <v>Fraca</v>
      </c>
      <c r="H164" s="149" t="str">
        <f t="shared" ca="1" si="47"/>
        <v>Fraca</v>
      </c>
      <c r="I164" s="149" t="str">
        <f t="shared" ca="1" si="47"/>
        <v>Fraca</v>
      </c>
      <c r="J164" s="149" t="str">
        <f t="shared" ca="1" si="47"/>
        <v>Fraca</v>
      </c>
      <c r="K164" s="149" t="str">
        <f t="shared" ca="1" si="47"/>
        <v>Fraca</v>
      </c>
      <c r="L164" s="149" t="str">
        <f t="shared" ca="1" si="47"/>
        <v>Fraca</v>
      </c>
      <c r="M164" s="149" t="str">
        <f t="shared" ca="1" si="47"/>
        <v>Fraca</v>
      </c>
      <c r="N164" s="149" t="str">
        <f t="shared" ca="1" si="47"/>
        <v>Fraca</v>
      </c>
      <c r="O164" s="149" t="str">
        <f t="shared" ca="1" si="47"/>
        <v>Fraca</v>
      </c>
      <c r="P164" s="149" t="str">
        <f t="shared" ca="1" si="47"/>
        <v>Fraca</v>
      </c>
    </row>
    <row r="165" spans="1:16">
      <c r="G165" s="149"/>
      <c r="H165" s="149"/>
      <c r="I165" s="149"/>
      <c r="J165" s="149"/>
      <c r="K165" s="149"/>
      <c r="L165" s="149"/>
      <c r="M165" s="149"/>
      <c r="N165" s="149"/>
      <c r="O165" s="149"/>
      <c r="P165" s="149"/>
    </row>
    <row r="166" spans="1:16">
      <c r="A166" s="166">
        <v>0</v>
      </c>
      <c r="B166" s="166" t="s">
        <v>614</v>
      </c>
      <c r="C166" s="166" t="s">
        <v>615</v>
      </c>
      <c r="D166" s="166" t="s">
        <v>616</v>
      </c>
      <c r="E166" s="166" t="s">
        <v>522</v>
      </c>
      <c r="F166" s="166" t="s">
        <v>617</v>
      </c>
      <c r="G166" s="149"/>
      <c r="H166" s="149"/>
      <c r="I166" s="149"/>
      <c r="J166" s="149"/>
      <c r="K166" s="149"/>
      <c r="L166" s="149"/>
      <c r="M166" s="149"/>
      <c r="N166" s="149"/>
      <c r="O166" s="149"/>
      <c r="P166" s="149"/>
    </row>
    <row r="167" spans="1:16">
      <c r="A167" s="162">
        <v>20</v>
      </c>
      <c r="B167" s="164">
        <v>0.9</v>
      </c>
      <c r="C167" s="164">
        <v>1.07</v>
      </c>
      <c r="D167" s="164">
        <v>1.2</v>
      </c>
      <c r="E167" s="164">
        <v>1.34</v>
      </c>
      <c r="F167" s="164"/>
      <c r="G167" s="149"/>
      <c r="H167" s="149"/>
      <c r="I167" s="149"/>
      <c r="J167" s="149"/>
      <c r="K167" s="149"/>
      <c r="L167" s="149"/>
      <c r="M167" s="149"/>
      <c r="N167" s="149"/>
      <c r="O167" s="149"/>
      <c r="P167" s="149"/>
    </row>
    <row r="168" spans="1:16">
      <c r="A168" s="162">
        <v>30</v>
      </c>
      <c r="B168" s="164">
        <v>0.89</v>
      </c>
      <c r="C168" s="164">
        <v>1</v>
      </c>
      <c r="D168" s="164">
        <v>1.1499999999999999</v>
      </c>
      <c r="E168" s="164">
        <v>1.32</v>
      </c>
      <c r="F168" s="164"/>
      <c r="G168" s="149"/>
      <c r="H168" s="149"/>
      <c r="I168" s="149"/>
      <c r="J168" s="149"/>
      <c r="K168" s="149"/>
      <c r="L168" s="149"/>
      <c r="M168" s="149"/>
      <c r="N168" s="149"/>
      <c r="O168" s="149"/>
      <c r="P168" s="149"/>
    </row>
    <row r="169" spans="1:16">
      <c r="A169" s="162">
        <v>40</v>
      </c>
      <c r="B169" s="164">
        <v>0.79</v>
      </c>
      <c r="C169" s="164">
        <v>0.89</v>
      </c>
      <c r="D169" s="164">
        <v>0.99</v>
      </c>
      <c r="E169" s="164">
        <v>1.1200000000000001</v>
      </c>
      <c r="F169" s="164"/>
      <c r="G169" s="149"/>
      <c r="H169" s="149"/>
      <c r="I169" s="149"/>
      <c r="J169" s="149"/>
      <c r="K169" s="149"/>
      <c r="L169" s="149"/>
      <c r="M169" s="149"/>
      <c r="N169" s="149"/>
      <c r="O169" s="149"/>
      <c r="P169" s="149"/>
    </row>
    <row r="170" spans="1:16">
      <c r="A170" s="162">
        <v>50</v>
      </c>
      <c r="B170" s="164">
        <v>0.73</v>
      </c>
      <c r="C170" s="164">
        <v>0.81</v>
      </c>
      <c r="D170" s="164">
        <v>0.89</v>
      </c>
      <c r="E170" s="164">
        <v>1</v>
      </c>
      <c r="F170" s="164"/>
      <c r="G170" s="149"/>
      <c r="H170" s="149"/>
      <c r="I170" s="149"/>
      <c r="J170" s="149"/>
      <c r="K170" s="149"/>
      <c r="L170" s="149"/>
      <c r="M170" s="149"/>
      <c r="N170" s="149"/>
      <c r="O170" s="149"/>
      <c r="P170" s="149"/>
    </row>
    <row r="171" spans="1:16">
      <c r="A171" s="162">
        <v>60</v>
      </c>
      <c r="B171" s="164">
        <v>0.64</v>
      </c>
      <c r="C171" s="164">
        <v>0.72</v>
      </c>
      <c r="D171" s="164">
        <v>0.8</v>
      </c>
      <c r="E171" s="164">
        <v>0.9</v>
      </c>
      <c r="F171" s="164"/>
      <c r="G171" s="149"/>
      <c r="H171" s="149"/>
      <c r="I171" s="149"/>
      <c r="J171" s="149"/>
      <c r="K171" s="149"/>
      <c r="L171" s="149"/>
      <c r="M171" s="149"/>
      <c r="N171" s="149"/>
      <c r="O171" s="149"/>
      <c r="P171" s="149"/>
    </row>
    <row r="172" spans="1:16">
      <c r="A172" s="162"/>
      <c r="B172" s="164">
        <v>0.57999999999999996</v>
      </c>
      <c r="C172" s="164">
        <v>0.67</v>
      </c>
      <c r="D172" s="164">
        <v>0.72</v>
      </c>
      <c r="E172" s="164">
        <v>0.82</v>
      </c>
      <c r="F172" s="164"/>
      <c r="G172" s="149"/>
      <c r="H172" s="149"/>
      <c r="I172" s="149"/>
      <c r="J172" s="149"/>
      <c r="K172" s="149"/>
      <c r="L172" s="149"/>
      <c r="M172" s="149"/>
      <c r="N172" s="149"/>
      <c r="O172" s="149"/>
      <c r="P172" s="149"/>
    </row>
    <row r="173" spans="1:16">
      <c r="A173" s="163" t="s">
        <v>618</v>
      </c>
      <c r="B173" s="165">
        <v>0.54</v>
      </c>
      <c r="C173" s="165">
        <v>0.59</v>
      </c>
      <c r="D173" s="165">
        <v>0.66</v>
      </c>
      <c r="E173" s="165">
        <v>0.78</v>
      </c>
      <c r="F173" s="165"/>
      <c r="G173" s="149"/>
      <c r="H173" s="149"/>
      <c r="I173" s="149"/>
      <c r="J173" s="149"/>
      <c r="K173" s="149"/>
      <c r="L173" s="149"/>
      <c r="M173" s="149"/>
      <c r="N173" s="149"/>
      <c r="O173" s="149"/>
      <c r="P173" s="149"/>
    </row>
    <row r="174" spans="1:16">
      <c r="A174" s="163" t="s">
        <v>472</v>
      </c>
      <c r="B174" s="165">
        <v>0.52</v>
      </c>
      <c r="C174" s="165">
        <v>0.6</v>
      </c>
      <c r="D174" s="165">
        <v>0.71</v>
      </c>
      <c r="E174" s="165">
        <v>0.81</v>
      </c>
      <c r="F174" s="165"/>
      <c r="G174" s="149"/>
      <c r="H174" s="149"/>
      <c r="I174" s="149"/>
      <c r="J174" s="149"/>
      <c r="K174" s="149"/>
      <c r="L174" s="149"/>
      <c r="M174" s="149"/>
      <c r="N174" s="149"/>
      <c r="O174" s="149"/>
      <c r="P174" s="149"/>
    </row>
    <row r="175" spans="1:16">
      <c r="A175" s="163" t="s">
        <v>481</v>
      </c>
      <c r="B175" s="165">
        <v>0.48</v>
      </c>
      <c r="C175" s="165">
        <v>0.54</v>
      </c>
      <c r="D175" s="165">
        <v>0.6</v>
      </c>
      <c r="E175" s="165">
        <v>0.71</v>
      </c>
      <c r="F175" s="165"/>
      <c r="G175" s="149"/>
      <c r="H175" s="149"/>
      <c r="I175" s="149"/>
      <c r="J175" s="149"/>
      <c r="K175" s="149"/>
      <c r="L175" s="149"/>
      <c r="M175" s="149"/>
      <c r="N175" s="149"/>
      <c r="O175" s="149"/>
      <c r="P175" s="149"/>
    </row>
    <row r="176" spans="1:16">
      <c r="A176" s="163" t="s">
        <v>490</v>
      </c>
      <c r="B176" s="165">
        <v>0.44</v>
      </c>
      <c r="C176" s="165">
        <v>0.51</v>
      </c>
      <c r="D176" s="165">
        <v>0.55000000000000004</v>
      </c>
      <c r="E176" s="165">
        <v>0.63</v>
      </c>
      <c r="F176" s="165"/>
      <c r="G176" s="149"/>
      <c r="H176" s="149"/>
      <c r="I176" s="149"/>
      <c r="J176" s="149"/>
      <c r="K176" s="149"/>
      <c r="L176" s="149"/>
      <c r="M176" s="149"/>
      <c r="N176" s="149"/>
      <c r="O176" s="149"/>
      <c r="P176" s="149"/>
    </row>
    <row r="177" spans="1:16">
      <c r="A177" s="163" t="s">
        <v>499</v>
      </c>
      <c r="B177" s="165">
        <v>0.4</v>
      </c>
      <c r="C177" s="165">
        <v>0.44</v>
      </c>
      <c r="D177" s="165">
        <v>0.49</v>
      </c>
      <c r="E177" s="165">
        <v>0.56000000000000005</v>
      </c>
      <c r="F177" s="165"/>
      <c r="G177" s="149"/>
      <c r="H177" s="149"/>
      <c r="I177" s="149"/>
      <c r="J177" s="149"/>
      <c r="K177" s="149"/>
      <c r="L177" s="149"/>
      <c r="M177" s="149"/>
      <c r="N177" s="149"/>
      <c r="O177" s="149"/>
      <c r="P177" s="149"/>
    </row>
    <row r="178" spans="1:16">
      <c r="A178" s="163" t="s">
        <v>508</v>
      </c>
      <c r="B178" s="165">
        <v>0.39</v>
      </c>
      <c r="C178" s="165">
        <v>0.43</v>
      </c>
      <c r="D178" s="165">
        <v>0.48</v>
      </c>
      <c r="E178" s="165">
        <v>0.55000000000000004</v>
      </c>
      <c r="F178" s="165"/>
      <c r="G178" s="149"/>
      <c r="H178" s="149"/>
      <c r="I178" s="149"/>
      <c r="J178" s="149"/>
      <c r="K178" s="149"/>
      <c r="L178" s="149"/>
      <c r="M178" s="149"/>
      <c r="N178" s="149"/>
      <c r="O178" s="149"/>
      <c r="P178" s="149"/>
    </row>
    <row r="179" spans="1:16">
      <c r="B179" s="149"/>
      <c r="C179" s="149"/>
      <c r="D179" s="149"/>
      <c r="E179" s="149"/>
      <c r="F179" s="149"/>
      <c r="G179" s="149"/>
      <c r="H179" s="149"/>
      <c r="I179" s="149"/>
      <c r="J179" s="149"/>
      <c r="K179" s="149"/>
      <c r="L179" s="149"/>
      <c r="M179" s="149"/>
      <c r="N179" s="149"/>
      <c r="O179" s="149"/>
      <c r="P179" s="149"/>
    </row>
    <row r="180" spans="1:16">
      <c r="B180" s="149">
        <v>0</v>
      </c>
      <c r="C180" s="149">
        <v>0</v>
      </c>
      <c r="D180" s="149">
        <v>0</v>
      </c>
      <c r="E180" s="149">
        <v>0</v>
      </c>
      <c r="F180" s="149">
        <v>0</v>
      </c>
      <c r="G180" s="149">
        <v>0</v>
      </c>
      <c r="H180" s="149">
        <v>0</v>
      </c>
      <c r="I180" s="149">
        <v>0</v>
      </c>
      <c r="J180" s="149">
        <v>0</v>
      </c>
      <c r="K180" s="149">
        <v>0</v>
      </c>
      <c r="L180" s="149">
        <v>0</v>
      </c>
      <c r="M180" s="149">
        <v>0</v>
      </c>
      <c r="N180" s="149">
        <v>0</v>
      </c>
      <c r="O180" s="149">
        <v>0</v>
      </c>
      <c r="P180" s="149">
        <v>0</v>
      </c>
    </row>
    <row r="181" spans="1:16">
      <c r="A181" s="108" t="str">
        <f t="shared" ref="A181:P181" si="48">A161</f>
        <v>Fraca</v>
      </c>
      <c r="B181" s="148">
        <f t="shared" ca="1" si="48"/>
        <v>0.73</v>
      </c>
      <c r="C181" s="148">
        <f t="shared" ca="1" si="48"/>
        <v>0.64</v>
      </c>
      <c r="D181" s="148">
        <f t="shared" ca="1" si="48"/>
        <v>0.64</v>
      </c>
      <c r="E181" s="148">
        <f t="shared" ca="1" si="48"/>
        <v>0.64</v>
      </c>
      <c r="F181" s="148">
        <f t="shared" ca="1" si="48"/>
        <v>0.64</v>
      </c>
      <c r="G181" s="148">
        <f t="shared" ca="1" si="48"/>
        <v>0.64</v>
      </c>
      <c r="H181" s="148">
        <f t="shared" ca="1" si="48"/>
        <v>0.64</v>
      </c>
      <c r="I181" s="148">
        <f t="shared" ca="1" si="48"/>
        <v>0.64</v>
      </c>
      <c r="J181" s="148">
        <f t="shared" ca="1" si="48"/>
        <v>0.64</v>
      </c>
      <c r="K181" s="148">
        <f t="shared" ca="1" si="48"/>
        <v>0.64</v>
      </c>
      <c r="L181" s="148">
        <f t="shared" ca="1" si="48"/>
        <v>0.64</v>
      </c>
      <c r="M181" s="148">
        <f t="shared" ca="1" si="48"/>
        <v>0.64</v>
      </c>
      <c r="N181" s="148" t="e">
        <f t="shared" ca="1" si="48"/>
        <v>#N/A</v>
      </c>
      <c r="O181" s="148" t="e">
        <f t="shared" ca="1" si="48"/>
        <v>#N/A</v>
      </c>
      <c r="P181" s="148" t="e">
        <f t="shared" ca="1" si="48"/>
        <v>#N/A</v>
      </c>
    </row>
    <row r="182" spans="1:16">
      <c r="A182" s="108" t="str">
        <f t="shared" ref="A182:P182" si="49">A160</f>
        <v>Média</v>
      </c>
      <c r="B182" s="148">
        <f t="shared" ca="1" si="49"/>
        <v>0.81</v>
      </c>
      <c r="C182" s="148">
        <f t="shared" ca="1" si="49"/>
        <v>0.72</v>
      </c>
      <c r="D182" s="148">
        <f t="shared" ca="1" si="49"/>
        <v>0.72</v>
      </c>
      <c r="E182" s="148">
        <f t="shared" ca="1" si="49"/>
        <v>0.72</v>
      </c>
      <c r="F182" s="148">
        <f t="shared" ca="1" si="49"/>
        <v>0.72</v>
      </c>
      <c r="G182" s="148">
        <f t="shared" ca="1" si="49"/>
        <v>0.72</v>
      </c>
      <c r="H182" s="148">
        <f t="shared" ca="1" si="49"/>
        <v>0.72</v>
      </c>
      <c r="I182" s="148">
        <f t="shared" ca="1" si="49"/>
        <v>0.72</v>
      </c>
      <c r="J182" s="148">
        <f t="shared" ca="1" si="49"/>
        <v>0.72</v>
      </c>
      <c r="K182" s="148">
        <f t="shared" ca="1" si="49"/>
        <v>0.72</v>
      </c>
      <c r="L182" s="148">
        <f t="shared" ca="1" si="49"/>
        <v>0.72</v>
      </c>
      <c r="M182" s="148">
        <f t="shared" ca="1" si="49"/>
        <v>0.72</v>
      </c>
      <c r="N182" s="148" t="e">
        <f t="shared" ca="1" si="49"/>
        <v>#N/A</v>
      </c>
      <c r="O182" s="148" t="e">
        <f t="shared" ca="1" si="49"/>
        <v>#N/A</v>
      </c>
      <c r="P182" s="148" t="e">
        <f t="shared" ca="1" si="49"/>
        <v>#N/A</v>
      </c>
    </row>
    <row r="183" spans="1:16">
      <c r="A183" s="108" t="str">
        <f t="shared" ref="A183:P183" si="50">A159</f>
        <v>Boa</v>
      </c>
      <c r="B183" s="148">
        <f t="shared" ca="1" si="50"/>
        <v>0.89</v>
      </c>
      <c r="C183" s="148">
        <f t="shared" ca="1" si="50"/>
        <v>0.8</v>
      </c>
      <c r="D183" s="148">
        <f t="shared" ca="1" si="50"/>
        <v>0.8</v>
      </c>
      <c r="E183" s="148">
        <f t="shared" ca="1" si="50"/>
        <v>0.8</v>
      </c>
      <c r="F183" s="148">
        <f t="shared" ca="1" si="50"/>
        <v>0.8</v>
      </c>
      <c r="G183" s="148">
        <f t="shared" ca="1" si="50"/>
        <v>0.8</v>
      </c>
      <c r="H183" s="148">
        <f t="shared" ca="1" si="50"/>
        <v>0.8</v>
      </c>
      <c r="I183" s="148">
        <f t="shared" ca="1" si="50"/>
        <v>0.8</v>
      </c>
      <c r="J183" s="148">
        <f t="shared" ca="1" si="50"/>
        <v>0.8</v>
      </c>
      <c r="K183" s="148">
        <f t="shared" ca="1" si="50"/>
        <v>0.8</v>
      </c>
      <c r="L183" s="148">
        <f t="shared" ca="1" si="50"/>
        <v>0.8</v>
      </c>
      <c r="M183" s="148">
        <f t="shared" ca="1" si="50"/>
        <v>0.8</v>
      </c>
      <c r="N183" s="148" t="e">
        <f t="shared" ca="1" si="50"/>
        <v>#N/A</v>
      </c>
      <c r="O183" s="148" t="e">
        <f t="shared" ca="1" si="50"/>
        <v>#N/A</v>
      </c>
      <c r="P183" s="148" t="e">
        <f t="shared" ca="1" si="50"/>
        <v>#N/A</v>
      </c>
    </row>
    <row r="184" spans="1:16">
      <c r="A184" s="108" t="str">
        <f t="shared" ref="A184:P184" si="51">A158</f>
        <v>Excelente</v>
      </c>
      <c r="B184" s="148">
        <f t="shared" ca="1" si="51"/>
        <v>1</v>
      </c>
      <c r="C184" s="148">
        <f t="shared" ca="1" si="51"/>
        <v>0.9</v>
      </c>
      <c r="D184" s="148">
        <f t="shared" ca="1" si="51"/>
        <v>0.9</v>
      </c>
      <c r="E184" s="148">
        <f t="shared" ca="1" si="51"/>
        <v>0.9</v>
      </c>
      <c r="F184" s="148">
        <f t="shared" ca="1" si="51"/>
        <v>0.9</v>
      </c>
      <c r="G184" s="148">
        <f t="shared" ca="1" si="51"/>
        <v>0.9</v>
      </c>
      <c r="H184" s="148">
        <f t="shared" ca="1" si="51"/>
        <v>0.9</v>
      </c>
      <c r="I184" s="148">
        <f t="shared" ca="1" si="51"/>
        <v>0.9</v>
      </c>
      <c r="J184" s="148">
        <f t="shared" ca="1" si="51"/>
        <v>0.9</v>
      </c>
      <c r="K184" s="148">
        <f t="shared" ca="1" si="51"/>
        <v>0.9</v>
      </c>
      <c r="L184" s="148">
        <f t="shared" ca="1" si="51"/>
        <v>0.9</v>
      </c>
      <c r="M184" s="148">
        <f t="shared" ca="1" si="51"/>
        <v>0.9</v>
      </c>
      <c r="N184" s="148" t="e">
        <f t="shared" ca="1" si="51"/>
        <v>#N/A</v>
      </c>
      <c r="O184" s="148" t="e">
        <f t="shared" ca="1" si="51"/>
        <v>#N/A</v>
      </c>
      <c r="P184" s="148" t="e">
        <f t="shared" ca="1" si="51"/>
        <v>#N/A</v>
      </c>
    </row>
    <row r="185" spans="1:16">
      <c r="A185" s="108" t="str">
        <f t="shared" ref="A185:P185" si="52">A157</f>
        <v>Superior</v>
      </c>
      <c r="B185" s="148">
        <f t="shared" ca="1" si="52"/>
        <v>1.1000000000000001</v>
      </c>
      <c r="C185" s="148">
        <f t="shared" ca="1" si="52"/>
        <v>1.1000000000000001</v>
      </c>
      <c r="D185" s="148">
        <f t="shared" ca="1" si="52"/>
        <v>1.1000000000000001</v>
      </c>
      <c r="E185" s="148">
        <f t="shared" ca="1" si="52"/>
        <v>1.1000000000000001</v>
      </c>
      <c r="F185" s="148">
        <f t="shared" ca="1" si="52"/>
        <v>1.1000000000000001</v>
      </c>
      <c r="G185" s="148">
        <f t="shared" ca="1" si="52"/>
        <v>1.1000000000000001</v>
      </c>
      <c r="H185" s="148">
        <f t="shared" ca="1" si="52"/>
        <v>1.1000000000000001</v>
      </c>
      <c r="I185" s="148">
        <f t="shared" ca="1" si="52"/>
        <v>1.1000000000000001</v>
      </c>
      <c r="J185" s="148">
        <f t="shared" ca="1" si="52"/>
        <v>1.1000000000000001</v>
      </c>
      <c r="K185" s="148">
        <f t="shared" ca="1" si="52"/>
        <v>1.1000000000000001</v>
      </c>
      <c r="L185" s="148">
        <f t="shared" ca="1" si="52"/>
        <v>1.1000000000000001</v>
      </c>
      <c r="M185" s="148">
        <f t="shared" ca="1" si="52"/>
        <v>1.1000000000000001</v>
      </c>
      <c r="N185" s="148">
        <f t="shared" ca="1" si="52"/>
        <v>1.1000000000000001</v>
      </c>
      <c r="O185" s="148">
        <f t="shared" ca="1" si="52"/>
        <v>1.1000000000000001</v>
      </c>
      <c r="P185" s="148">
        <f t="shared" ca="1" si="52"/>
        <v>1.1000000000000001</v>
      </c>
    </row>
    <row r="186" spans="1:16">
      <c r="B186" s="149"/>
      <c r="C186" s="149"/>
      <c r="D186" s="149"/>
      <c r="E186" s="149"/>
      <c r="F186" s="149"/>
      <c r="G186" s="149"/>
      <c r="H186" s="149"/>
      <c r="I186" s="149"/>
      <c r="J186" s="149"/>
      <c r="K186" s="149"/>
      <c r="L186" s="149"/>
      <c r="M186" s="149"/>
      <c r="N186" s="149"/>
      <c r="O186" s="149"/>
      <c r="P186" s="149"/>
    </row>
    <row r="187" spans="1:16">
      <c r="B187" s="149"/>
      <c r="C187" s="149"/>
      <c r="D187" s="149"/>
      <c r="E187" s="149"/>
      <c r="F187" s="149"/>
      <c r="G187" s="149"/>
      <c r="H187" s="149"/>
      <c r="I187" s="149"/>
      <c r="J187" s="149"/>
      <c r="K187" s="149"/>
      <c r="L187" s="149"/>
      <c r="M187" s="149"/>
      <c r="N187" s="149"/>
      <c r="O187" s="149"/>
      <c r="P187" s="149"/>
    </row>
    <row r="188" spans="1:16">
      <c r="B188" s="12" t="str">
        <f t="shared" ref="B188:F188" si="53">B$1</f>
        <v>Av1</v>
      </c>
      <c r="C188" s="12" t="str">
        <f t="shared" si="53"/>
        <v>Av2</v>
      </c>
      <c r="D188" s="12" t="str">
        <f t="shared" si="53"/>
        <v>Av3</v>
      </c>
      <c r="E188" s="12" t="str">
        <f t="shared" si="53"/>
        <v>Av4</v>
      </c>
      <c r="F188" s="12" t="str">
        <f t="shared" si="53"/>
        <v>Av5</v>
      </c>
      <c r="G188" s="149"/>
      <c r="H188" s="149"/>
      <c r="I188" s="149"/>
      <c r="J188" s="149"/>
      <c r="K188" s="149"/>
      <c r="L188" s="149"/>
      <c r="M188" s="149"/>
      <c r="N188" s="149"/>
      <c r="O188" s="149"/>
      <c r="P188" s="149"/>
    </row>
    <row r="189" spans="1:16">
      <c r="A189" s="251" t="str">
        <f>F198</f>
        <v>Superior</v>
      </c>
      <c r="B189" s="148">
        <f ca="1">MAX(MAX($B$194:$P$194)*1.05,$B$190*1.1)</f>
        <v>2.0020000000000002</v>
      </c>
      <c r="C189" s="148">
        <f t="shared" ref="C189:P189" ca="1" si="54">IF(C188="","",$B$189)</f>
        <v>2.0020000000000002</v>
      </c>
      <c r="D189" s="148">
        <f t="shared" ca="1" si="54"/>
        <v>2.0020000000000002</v>
      </c>
      <c r="E189" s="148">
        <f t="shared" ca="1" si="54"/>
        <v>2.0020000000000002</v>
      </c>
      <c r="F189" s="148">
        <f t="shared" ca="1" si="54"/>
        <v>2.0020000000000002</v>
      </c>
      <c r="G189" s="148" t="str">
        <f t="shared" si="54"/>
        <v/>
      </c>
      <c r="H189" s="148" t="str">
        <f t="shared" si="54"/>
        <v/>
      </c>
      <c r="I189" s="148" t="str">
        <f t="shared" si="54"/>
        <v/>
      </c>
      <c r="J189" s="148" t="str">
        <f t="shared" si="54"/>
        <v/>
      </c>
      <c r="K189" s="148" t="str">
        <f t="shared" si="54"/>
        <v/>
      </c>
      <c r="L189" s="148" t="str">
        <f t="shared" si="54"/>
        <v/>
      </c>
      <c r="M189" s="148" t="str">
        <f t="shared" si="54"/>
        <v/>
      </c>
      <c r="N189" s="148" t="str">
        <f t="shared" si="54"/>
        <v/>
      </c>
      <c r="O189" s="148" t="str">
        <f t="shared" si="54"/>
        <v/>
      </c>
      <c r="P189" s="148" t="str">
        <f t="shared" si="54"/>
        <v/>
      </c>
    </row>
    <row r="190" spans="1:16">
      <c r="A190" s="251" t="str">
        <f>E198</f>
        <v>Excelente</v>
      </c>
      <c r="B190" s="148">
        <f t="shared" ref="B190:P190" ca="1" si="55">OFFSET($E$198,B$87+$A$78,)</f>
        <v>1.82</v>
      </c>
      <c r="C190" s="148">
        <f t="shared" ca="1" si="55"/>
        <v>1.71</v>
      </c>
      <c r="D190" s="148">
        <f t="shared" ca="1" si="55"/>
        <v>1.71</v>
      </c>
      <c r="E190" s="148">
        <f t="shared" ca="1" si="55"/>
        <v>1.71</v>
      </c>
      <c r="F190" s="148">
        <f t="shared" ca="1" si="55"/>
        <v>1.71</v>
      </c>
      <c r="G190" s="148">
        <f t="shared" ca="1" si="55"/>
        <v>1.71</v>
      </c>
      <c r="H190" s="148">
        <f t="shared" ca="1" si="55"/>
        <v>1.71</v>
      </c>
      <c r="I190" s="148">
        <f t="shared" ca="1" si="55"/>
        <v>1.71</v>
      </c>
      <c r="J190" s="148">
        <f t="shared" ca="1" si="55"/>
        <v>1.71</v>
      </c>
      <c r="K190" s="148">
        <f t="shared" ca="1" si="55"/>
        <v>1.71</v>
      </c>
      <c r="L190" s="148">
        <f t="shared" ca="1" si="55"/>
        <v>1.71</v>
      </c>
      <c r="M190" s="148">
        <f t="shared" ca="1" si="55"/>
        <v>1.71</v>
      </c>
      <c r="N190" s="148" t="e">
        <f t="shared" ca="1" si="55"/>
        <v>#N/A</v>
      </c>
      <c r="O190" s="148" t="e">
        <f t="shared" ca="1" si="55"/>
        <v>#N/A</v>
      </c>
      <c r="P190" s="148" t="e">
        <f t="shared" ca="1" si="55"/>
        <v>#N/A</v>
      </c>
    </row>
    <row r="191" spans="1:16">
      <c r="A191" s="251" t="str">
        <f>D198</f>
        <v>Boa</v>
      </c>
      <c r="B191" s="148">
        <f t="shared" ref="B191:P191" ca="1" si="56">OFFSET($D$198,B$87+$A$78,)</f>
        <v>1.69</v>
      </c>
      <c r="C191" s="148">
        <f t="shared" ca="1" si="56"/>
        <v>1.59</v>
      </c>
      <c r="D191" s="148">
        <f t="shared" ca="1" si="56"/>
        <v>1.59</v>
      </c>
      <c r="E191" s="148">
        <f t="shared" ca="1" si="56"/>
        <v>1.59</v>
      </c>
      <c r="F191" s="148">
        <f t="shared" ca="1" si="56"/>
        <v>1.59</v>
      </c>
      <c r="G191" s="148">
        <f t="shared" ca="1" si="56"/>
        <v>1.59</v>
      </c>
      <c r="H191" s="148">
        <f t="shared" ca="1" si="56"/>
        <v>1.59</v>
      </c>
      <c r="I191" s="148">
        <f t="shared" ca="1" si="56"/>
        <v>1.59</v>
      </c>
      <c r="J191" s="148">
        <f t="shared" ca="1" si="56"/>
        <v>1.59</v>
      </c>
      <c r="K191" s="148">
        <f t="shared" ca="1" si="56"/>
        <v>1.59</v>
      </c>
      <c r="L191" s="148">
        <f t="shared" ca="1" si="56"/>
        <v>1.59</v>
      </c>
      <c r="M191" s="148">
        <f t="shared" ca="1" si="56"/>
        <v>1.59</v>
      </c>
      <c r="N191" s="148" t="e">
        <f t="shared" ca="1" si="56"/>
        <v>#N/A</v>
      </c>
      <c r="O191" s="148" t="e">
        <f t="shared" ca="1" si="56"/>
        <v>#N/A</v>
      </c>
      <c r="P191" s="148" t="e">
        <f t="shared" ca="1" si="56"/>
        <v>#N/A</v>
      </c>
    </row>
    <row r="192" spans="1:16">
      <c r="A192" s="251" t="str">
        <f>C198</f>
        <v>Média</v>
      </c>
      <c r="B192" s="148">
        <f t="shared" ref="B192:P192" ca="1" si="57">OFFSET($C$198,B$87+$A$78,)</f>
        <v>1.58</v>
      </c>
      <c r="C192" s="148">
        <f t="shared" ca="1" si="57"/>
        <v>1.47</v>
      </c>
      <c r="D192" s="148">
        <f t="shared" ca="1" si="57"/>
        <v>1.47</v>
      </c>
      <c r="E192" s="148">
        <f t="shared" ca="1" si="57"/>
        <v>1.47</v>
      </c>
      <c r="F192" s="148">
        <f t="shared" ca="1" si="57"/>
        <v>1.47</v>
      </c>
      <c r="G192" s="148">
        <f t="shared" ca="1" si="57"/>
        <v>1.47</v>
      </c>
      <c r="H192" s="148">
        <f t="shared" ca="1" si="57"/>
        <v>1.47</v>
      </c>
      <c r="I192" s="148">
        <f t="shared" ca="1" si="57"/>
        <v>1.47</v>
      </c>
      <c r="J192" s="148">
        <f t="shared" ca="1" si="57"/>
        <v>1.47</v>
      </c>
      <c r="K192" s="148">
        <f t="shared" ca="1" si="57"/>
        <v>1.47</v>
      </c>
      <c r="L192" s="148">
        <f t="shared" ca="1" si="57"/>
        <v>1.47</v>
      </c>
      <c r="M192" s="148">
        <f t="shared" ca="1" si="57"/>
        <v>1.47</v>
      </c>
      <c r="N192" s="148" t="e">
        <f t="shared" ca="1" si="57"/>
        <v>#N/A</v>
      </c>
      <c r="O192" s="148" t="e">
        <f t="shared" ca="1" si="57"/>
        <v>#N/A</v>
      </c>
      <c r="P192" s="148" t="e">
        <f t="shared" ca="1" si="57"/>
        <v>#N/A</v>
      </c>
    </row>
    <row r="193" spans="1:16">
      <c r="A193" s="251" t="str">
        <f>B198</f>
        <v>Fraca</v>
      </c>
      <c r="B193" s="148">
        <f t="shared" ref="B193:P193" ca="1" si="58">OFFSET($B$198,B$87+$A$78,)</f>
        <v>1.45</v>
      </c>
      <c r="C193" s="148">
        <f t="shared" ca="1" si="58"/>
        <v>1.33</v>
      </c>
      <c r="D193" s="148">
        <f t="shared" ca="1" si="58"/>
        <v>1.33</v>
      </c>
      <c r="E193" s="148">
        <f t="shared" ca="1" si="58"/>
        <v>1.33</v>
      </c>
      <c r="F193" s="148">
        <f t="shared" ca="1" si="58"/>
        <v>1.33</v>
      </c>
      <c r="G193" s="148">
        <f t="shared" ca="1" si="58"/>
        <v>1.33</v>
      </c>
      <c r="H193" s="148">
        <f t="shared" ca="1" si="58"/>
        <v>1.33</v>
      </c>
      <c r="I193" s="148">
        <f t="shared" ca="1" si="58"/>
        <v>1.33</v>
      </c>
      <c r="J193" s="148">
        <f t="shared" ca="1" si="58"/>
        <v>1.33</v>
      </c>
      <c r="K193" s="148">
        <f t="shared" ca="1" si="58"/>
        <v>1.33</v>
      </c>
      <c r="L193" s="148">
        <f t="shared" ca="1" si="58"/>
        <v>1.33</v>
      </c>
      <c r="M193" s="148">
        <f t="shared" ca="1" si="58"/>
        <v>1.33</v>
      </c>
      <c r="N193" s="148" t="e">
        <f t="shared" ca="1" si="58"/>
        <v>#N/A</v>
      </c>
      <c r="O193" s="148" t="e">
        <f t="shared" ca="1" si="58"/>
        <v>#N/A</v>
      </c>
      <c r="P193" s="148" t="e">
        <f t="shared" ca="1" si="58"/>
        <v>#N/A</v>
      </c>
    </row>
    <row r="194" spans="1:16">
      <c r="A194" s="34" t="s">
        <v>977</v>
      </c>
      <c r="B194" s="148">
        <f>'BD tratado'!E132</f>
        <v>0</v>
      </c>
      <c r="C194" s="148">
        <f>'BD tratado'!F132</f>
        <v>0</v>
      </c>
      <c r="D194" s="148">
        <f>'BD tratado'!G132</f>
        <v>0</v>
      </c>
      <c r="E194" s="148">
        <f>'BD tratado'!H132</f>
        <v>0</v>
      </c>
      <c r="F194" s="148">
        <f>'BD tratado'!I132</f>
        <v>0</v>
      </c>
      <c r="G194" s="148">
        <f>'BD tratado'!J132</f>
        <v>0</v>
      </c>
      <c r="H194" s="148">
        <f>'BD tratado'!K132</f>
        <v>0</v>
      </c>
      <c r="I194" s="148">
        <f>'BD tratado'!L132</f>
        <v>0</v>
      </c>
      <c r="J194" s="148">
        <f>'BD tratado'!M132</f>
        <v>0</v>
      </c>
      <c r="K194" s="148">
        <f>'BD tratado'!N132</f>
        <v>0</v>
      </c>
      <c r="L194" s="148">
        <f>'BD tratado'!O132</f>
        <v>0</v>
      </c>
      <c r="M194" s="148">
        <f>'BD tratado'!P132</f>
        <v>0</v>
      </c>
      <c r="N194" s="148">
        <f>'BD tratado'!Q132</f>
        <v>0</v>
      </c>
      <c r="O194" s="148">
        <f>'BD tratado'!R132</f>
        <v>0</v>
      </c>
      <c r="P194" s="148">
        <f>'BD tratado'!S132</f>
        <v>0</v>
      </c>
    </row>
    <row r="195" spans="1:16">
      <c r="B195" s="149"/>
      <c r="C195" s="149"/>
      <c r="D195" s="149"/>
      <c r="E195" s="149"/>
      <c r="F195" s="149"/>
      <c r="G195" s="149"/>
      <c r="H195" s="149"/>
      <c r="I195" s="149"/>
      <c r="J195" s="149"/>
      <c r="K195" s="149"/>
      <c r="L195" s="149"/>
      <c r="M195" s="149"/>
      <c r="N195" s="149"/>
      <c r="O195" s="149"/>
      <c r="P195" s="149"/>
    </row>
    <row r="196" spans="1:16">
      <c r="A196" s="34" t="s">
        <v>978</v>
      </c>
      <c r="B196" s="149" t="str">
        <f t="shared" ref="B196:P196" ca="1" si="59">OFFSET($A$212,MATCH(B194,$B$212:$B$217,1),)</f>
        <v>Fraca</v>
      </c>
      <c r="C196" s="149" t="str">
        <f t="shared" ca="1" si="59"/>
        <v>Fraca</v>
      </c>
      <c r="D196" s="149" t="str">
        <f t="shared" ca="1" si="59"/>
        <v>Fraca</v>
      </c>
      <c r="E196" s="149" t="str">
        <f t="shared" ca="1" si="59"/>
        <v>Fraca</v>
      </c>
      <c r="F196" s="149" t="str">
        <f t="shared" ca="1" si="59"/>
        <v>Fraca</v>
      </c>
      <c r="G196" s="149" t="str">
        <f t="shared" ca="1" si="59"/>
        <v>Fraca</v>
      </c>
      <c r="H196" s="149" t="str">
        <f t="shared" ca="1" si="59"/>
        <v>Fraca</v>
      </c>
      <c r="I196" s="149" t="str">
        <f t="shared" ca="1" si="59"/>
        <v>Fraca</v>
      </c>
      <c r="J196" s="149" t="str">
        <f t="shared" ca="1" si="59"/>
        <v>Fraca</v>
      </c>
      <c r="K196" s="149" t="str">
        <f t="shared" ca="1" si="59"/>
        <v>Fraca</v>
      </c>
      <c r="L196" s="149" t="str">
        <f t="shared" ca="1" si="59"/>
        <v>Fraca</v>
      </c>
      <c r="M196" s="149" t="str">
        <f t="shared" ca="1" si="59"/>
        <v>Fraca</v>
      </c>
      <c r="N196" s="149" t="str">
        <f t="shared" ca="1" si="59"/>
        <v>Fraca</v>
      </c>
      <c r="O196" s="149" t="str">
        <f t="shared" ca="1" si="59"/>
        <v>Fraca</v>
      </c>
      <c r="P196" s="149" t="str">
        <f t="shared" ca="1" si="59"/>
        <v>Fraca</v>
      </c>
    </row>
    <row r="197" spans="1:16">
      <c r="G197" s="149"/>
      <c r="H197" s="149"/>
      <c r="I197" s="149"/>
      <c r="J197" s="149"/>
      <c r="K197" s="149"/>
      <c r="L197" s="149"/>
      <c r="M197" s="149"/>
      <c r="N197" s="149"/>
      <c r="O197" s="149"/>
      <c r="P197" s="149"/>
    </row>
    <row r="198" spans="1:16">
      <c r="A198" s="166">
        <v>0</v>
      </c>
      <c r="B198" s="166" t="s">
        <v>614</v>
      </c>
      <c r="C198" s="166" t="s">
        <v>615</v>
      </c>
      <c r="D198" s="166" t="s">
        <v>616</v>
      </c>
      <c r="E198" s="166" t="s">
        <v>522</v>
      </c>
      <c r="F198" s="166" t="s">
        <v>617</v>
      </c>
      <c r="G198" s="149"/>
      <c r="H198" s="149"/>
      <c r="I198" s="149"/>
      <c r="J198" s="149"/>
      <c r="K198" s="149"/>
      <c r="L198" s="149"/>
      <c r="M198" s="149"/>
      <c r="N198" s="149"/>
      <c r="O198" s="149"/>
      <c r="P198" s="149"/>
    </row>
    <row r="199" spans="1:16">
      <c r="A199" s="162">
        <v>20</v>
      </c>
      <c r="B199" s="164">
        <v>1.71</v>
      </c>
      <c r="C199" s="164">
        <v>1.91</v>
      </c>
      <c r="D199" s="164">
        <v>2.0499999999999998</v>
      </c>
      <c r="E199" s="164">
        <v>2.2799999999999998</v>
      </c>
      <c r="F199" s="164"/>
      <c r="G199" s="149"/>
      <c r="H199" s="149"/>
      <c r="I199" s="149"/>
      <c r="J199" s="149"/>
      <c r="K199" s="149"/>
      <c r="L199" s="149"/>
      <c r="M199" s="149"/>
      <c r="N199" s="149"/>
      <c r="O199" s="149"/>
      <c r="P199" s="149"/>
    </row>
    <row r="200" spans="1:16">
      <c r="A200" s="162">
        <v>30</v>
      </c>
      <c r="B200" s="164">
        <v>1.64</v>
      </c>
      <c r="C200" s="164">
        <v>1.84</v>
      </c>
      <c r="D200" s="164">
        <v>1.98</v>
      </c>
      <c r="E200" s="164">
        <v>2.13</v>
      </c>
      <c r="F200" s="164"/>
      <c r="G200" s="149"/>
      <c r="H200" s="149"/>
      <c r="I200" s="149"/>
      <c r="J200" s="149"/>
      <c r="K200" s="149"/>
      <c r="L200" s="149"/>
      <c r="M200" s="149"/>
      <c r="N200" s="149"/>
      <c r="O200" s="149"/>
      <c r="P200" s="149"/>
    </row>
    <row r="201" spans="1:16">
      <c r="A201" s="162">
        <v>40</v>
      </c>
      <c r="B201" s="164">
        <v>1.53</v>
      </c>
      <c r="C201" s="164">
        <v>1.66</v>
      </c>
      <c r="D201" s="164">
        <v>1.78</v>
      </c>
      <c r="E201" s="164">
        <v>1.93</v>
      </c>
      <c r="F201" s="164"/>
      <c r="G201" s="149"/>
      <c r="H201" s="149"/>
      <c r="I201" s="149"/>
      <c r="J201" s="149"/>
      <c r="K201" s="149"/>
      <c r="L201" s="149"/>
      <c r="M201" s="149"/>
      <c r="N201" s="149"/>
      <c r="O201" s="149"/>
      <c r="P201" s="149"/>
    </row>
    <row r="202" spans="1:16">
      <c r="A202" s="162">
        <v>50</v>
      </c>
      <c r="B202" s="164">
        <v>1.45</v>
      </c>
      <c r="C202" s="164">
        <v>1.58</v>
      </c>
      <c r="D202" s="164">
        <v>1.69</v>
      </c>
      <c r="E202" s="164">
        <v>1.82</v>
      </c>
      <c r="F202" s="164"/>
      <c r="G202" s="149"/>
      <c r="H202" s="149"/>
      <c r="I202" s="149"/>
      <c r="J202" s="149"/>
      <c r="K202" s="149"/>
      <c r="L202" s="149"/>
      <c r="M202" s="149"/>
      <c r="N202" s="149"/>
      <c r="O202" s="149"/>
      <c r="P202" s="149"/>
    </row>
    <row r="203" spans="1:16">
      <c r="A203" s="162">
        <v>60</v>
      </c>
      <c r="B203" s="164">
        <v>1.33</v>
      </c>
      <c r="C203" s="164">
        <v>1.47</v>
      </c>
      <c r="D203" s="164">
        <v>1.59</v>
      </c>
      <c r="E203" s="164">
        <v>1.71</v>
      </c>
      <c r="F203" s="164"/>
      <c r="G203" s="149"/>
      <c r="H203" s="149"/>
      <c r="I203" s="149"/>
      <c r="J203" s="149"/>
      <c r="K203" s="149"/>
      <c r="L203" s="149"/>
      <c r="M203" s="149"/>
      <c r="N203" s="149"/>
      <c r="O203" s="149"/>
      <c r="P203" s="149"/>
    </row>
    <row r="204" spans="1:16">
      <c r="A204" s="162"/>
      <c r="B204" s="164">
        <v>1.26</v>
      </c>
      <c r="C204" s="164">
        <v>1.39</v>
      </c>
      <c r="D204" s="164">
        <v>1.5</v>
      </c>
      <c r="E204" s="164">
        <v>1.62</v>
      </c>
      <c r="F204" s="164"/>
      <c r="G204" s="149"/>
      <c r="H204" s="149"/>
      <c r="I204" s="149"/>
      <c r="J204" s="149"/>
      <c r="K204" s="149"/>
      <c r="L204" s="149"/>
      <c r="M204" s="149"/>
      <c r="N204" s="149"/>
      <c r="O204" s="149"/>
      <c r="P204" s="149"/>
    </row>
    <row r="205" spans="1:16">
      <c r="A205" s="163" t="s">
        <v>618</v>
      </c>
      <c r="B205" s="165">
        <v>1.23</v>
      </c>
      <c r="C205" s="165">
        <v>1.39</v>
      </c>
      <c r="D205" s="165">
        <v>1.6</v>
      </c>
      <c r="E205" s="165">
        <v>1.71</v>
      </c>
      <c r="F205" s="165"/>
      <c r="G205" s="149"/>
      <c r="H205" s="149"/>
      <c r="I205" s="149"/>
      <c r="J205" s="149"/>
      <c r="K205" s="149"/>
      <c r="L205" s="149"/>
      <c r="M205" s="149"/>
      <c r="N205" s="149"/>
      <c r="O205" s="149"/>
      <c r="P205" s="149"/>
    </row>
    <row r="206" spans="1:16">
      <c r="A206" s="163" t="s">
        <v>472</v>
      </c>
      <c r="B206" s="165">
        <v>1.23</v>
      </c>
      <c r="C206" s="165">
        <v>1.38</v>
      </c>
      <c r="D206" s="165">
        <v>1.51</v>
      </c>
      <c r="E206" s="165">
        <v>1.68</v>
      </c>
      <c r="F206" s="165"/>
      <c r="G206" s="149"/>
      <c r="H206" s="149"/>
      <c r="I206" s="149"/>
      <c r="J206" s="149"/>
      <c r="K206" s="149"/>
      <c r="L206" s="149"/>
      <c r="M206" s="149"/>
      <c r="N206" s="149"/>
      <c r="O206" s="149"/>
      <c r="P206" s="149"/>
    </row>
    <row r="207" spans="1:16">
      <c r="A207" s="163" t="s">
        <v>481</v>
      </c>
      <c r="B207" s="165">
        <v>1.1000000000000001</v>
      </c>
      <c r="C207" s="165">
        <v>1.22</v>
      </c>
      <c r="D207" s="165">
        <v>1.34</v>
      </c>
      <c r="E207" s="165">
        <v>1.47</v>
      </c>
      <c r="F207" s="165"/>
      <c r="G207" s="149"/>
      <c r="H207" s="149"/>
      <c r="I207" s="149"/>
      <c r="J207" s="149"/>
      <c r="K207" s="149"/>
      <c r="L207" s="149"/>
      <c r="M207" s="149"/>
      <c r="N207" s="149"/>
      <c r="O207" s="149"/>
      <c r="P207" s="149"/>
    </row>
    <row r="208" spans="1:16">
      <c r="A208" s="163" t="s">
        <v>490</v>
      </c>
      <c r="B208" s="165">
        <v>1.03</v>
      </c>
      <c r="C208" s="165">
        <v>1.1399999999999999</v>
      </c>
      <c r="D208" s="165">
        <v>1.24</v>
      </c>
      <c r="E208" s="165">
        <v>1.37</v>
      </c>
      <c r="F208" s="165"/>
      <c r="G208" s="149"/>
      <c r="H208" s="149"/>
      <c r="I208" s="149"/>
      <c r="J208" s="149"/>
      <c r="K208" s="149"/>
      <c r="L208" s="149"/>
      <c r="M208" s="149"/>
      <c r="N208" s="149"/>
      <c r="O208" s="149"/>
      <c r="P208" s="149"/>
    </row>
    <row r="209" spans="1:16">
      <c r="A209" s="163" t="s">
        <v>499</v>
      </c>
      <c r="B209" s="165">
        <v>0.89</v>
      </c>
      <c r="C209" s="165">
        <v>1</v>
      </c>
      <c r="D209" s="165">
        <v>1.1100000000000001</v>
      </c>
      <c r="E209" s="165">
        <v>1.25</v>
      </c>
      <c r="F209" s="165"/>
      <c r="G209" s="149"/>
      <c r="H209" s="149"/>
      <c r="I209" s="149"/>
      <c r="J209" s="149"/>
      <c r="K209" s="149"/>
      <c r="L209" s="149"/>
      <c r="M209" s="149"/>
      <c r="N209" s="149"/>
      <c r="O209" s="149"/>
      <c r="P209" s="149"/>
    </row>
    <row r="210" spans="1:16">
      <c r="A210" s="163" t="s">
        <v>508</v>
      </c>
      <c r="B210" s="165">
        <v>0.86</v>
      </c>
      <c r="C210" s="165">
        <v>0.94</v>
      </c>
      <c r="D210" s="165">
        <v>1.05</v>
      </c>
      <c r="E210" s="165">
        <v>1.18</v>
      </c>
      <c r="F210" s="165"/>
      <c r="G210" s="149"/>
      <c r="H210" s="149"/>
      <c r="I210" s="149"/>
      <c r="J210" s="149"/>
      <c r="K210" s="149"/>
      <c r="L210" s="149"/>
      <c r="M210" s="149"/>
      <c r="N210" s="149"/>
      <c r="O210" s="149"/>
      <c r="P210" s="149"/>
    </row>
    <row r="211" spans="1:16">
      <c r="B211" s="149"/>
      <c r="C211" s="149"/>
      <c r="D211" s="149"/>
      <c r="E211" s="149"/>
      <c r="F211" s="149"/>
      <c r="G211" s="149"/>
      <c r="H211" s="149"/>
      <c r="I211" s="149"/>
      <c r="J211" s="149"/>
      <c r="K211" s="149"/>
      <c r="L211" s="149"/>
      <c r="M211" s="149"/>
      <c r="N211" s="149"/>
      <c r="O211" s="149"/>
      <c r="P211" s="149"/>
    </row>
    <row r="212" spans="1:16">
      <c r="B212" s="149">
        <v>0</v>
      </c>
      <c r="C212" s="149">
        <v>0</v>
      </c>
      <c r="D212" s="149">
        <v>0</v>
      </c>
      <c r="E212" s="149">
        <v>0</v>
      </c>
      <c r="F212" s="149">
        <v>0</v>
      </c>
      <c r="G212" s="149">
        <v>0</v>
      </c>
      <c r="H212" s="149">
        <v>0</v>
      </c>
      <c r="I212" s="149">
        <v>0</v>
      </c>
      <c r="J212" s="149">
        <v>0</v>
      </c>
      <c r="K212" s="149">
        <v>0</v>
      </c>
      <c r="L212" s="149">
        <v>0</v>
      </c>
      <c r="M212" s="149">
        <v>0</v>
      </c>
      <c r="N212" s="149">
        <v>0</v>
      </c>
      <c r="O212" s="149">
        <v>0</v>
      </c>
      <c r="P212" s="149">
        <v>0</v>
      </c>
    </row>
    <row r="213" spans="1:16">
      <c r="A213" s="108" t="str">
        <f t="shared" ref="A213:P213" si="60">A193</f>
        <v>Fraca</v>
      </c>
      <c r="B213" s="148">
        <f t="shared" ca="1" si="60"/>
        <v>1.45</v>
      </c>
      <c r="C213" s="148">
        <f t="shared" ca="1" si="60"/>
        <v>1.33</v>
      </c>
      <c r="D213" s="148">
        <f t="shared" ca="1" si="60"/>
        <v>1.33</v>
      </c>
      <c r="E213" s="148">
        <f t="shared" ca="1" si="60"/>
        <v>1.33</v>
      </c>
      <c r="F213" s="148">
        <f t="shared" ca="1" si="60"/>
        <v>1.33</v>
      </c>
      <c r="G213" s="148">
        <f t="shared" ca="1" si="60"/>
        <v>1.33</v>
      </c>
      <c r="H213" s="148">
        <f t="shared" ca="1" si="60"/>
        <v>1.33</v>
      </c>
      <c r="I213" s="148">
        <f t="shared" ca="1" si="60"/>
        <v>1.33</v>
      </c>
      <c r="J213" s="148">
        <f t="shared" ca="1" si="60"/>
        <v>1.33</v>
      </c>
      <c r="K213" s="148">
        <f t="shared" ca="1" si="60"/>
        <v>1.33</v>
      </c>
      <c r="L213" s="148">
        <f t="shared" ca="1" si="60"/>
        <v>1.33</v>
      </c>
      <c r="M213" s="148">
        <f t="shared" ca="1" si="60"/>
        <v>1.33</v>
      </c>
      <c r="N213" s="148" t="e">
        <f t="shared" ca="1" si="60"/>
        <v>#N/A</v>
      </c>
      <c r="O213" s="148" t="e">
        <f t="shared" ca="1" si="60"/>
        <v>#N/A</v>
      </c>
      <c r="P213" s="148" t="e">
        <f t="shared" ca="1" si="60"/>
        <v>#N/A</v>
      </c>
    </row>
    <row r="214" spans="1:16">
      <c r="A214" s="108" t="str">
        <f t="shared" ref="A214:P214" si="61">A192</f>
        <v>Média</v>
      </c>
      <c r="B214" s="148">
        <f t="shared" ca="1" si="61"/>
        <v>1.58</v>
      </c>
      <c r="C214" s="148">
        <f t="shared" ca="1" si="61"/>
        <v>1.47</v>
      </c>
      <c r="D214" s="148">
        <f t="shared" ca="1" si="61"/>
        <v>1.47</v>
      </c>
      <c r="E214" s="148">
        <f t="shared" ca="1" si="61"/>
        <v>1.47</v>
      </c>
      <c r="F214" s="148">
        <f t="shared" ca="1" si="61"/>
        <v>1.47</v>
      </c>
      <c r="G214" s="148">
        <f t="shared" ca="1" si="61"/>
        <v>1.47</v>
      </c>
      <c r="H214" s="148">
        <f t="shared" ca="1" si="61"/>
        <v>1.47</v>
      </c>
      <c r="I214" s="148">
        <f t="shared" ca="1" si="61"/>
        <v>1.47</v>
      </c>
      <c r="J214" s="148">
        <f t="shared" ca="1" si="61"/>
        <v>1.47</v>
      </c>
      <c r="K214" s="148">
        <f t="shared" ca="1" si="61"/>
        <v>1.47</v>
      </c>
      <c r="L214" s="148">
        <f t="shared" ca="1" si="61"/>
        <v>1.47</v>
      </c>
      <c r="M214" s="148">
        <f t="shared" ca="1" si="61"/>
        <v>1.47</v>
      </c>
      <c r="N214" s="148" t="e">
        <f t="shared" ca="1" si="61"/>
        <v>#N/A</v>
      </c>
      <c r="O214" s="148" t="e">
        <f t="shared" ca="1" si="61"/>
        <v>#N/A</v>
      </c>
      <c r="P214" s="148" t="e">
        <f t="shared" ca="1" si="61"/>
        <v>#N/A</v>
      </c>
    </row>
    <row r="215" spans="1:16">
      <c r="A215" s="108" t="str">
        <f t="shared" ref="A215:P215" si="62">A191</f>
        <v>Boa</v>
      </c>
      <c r="B215" s="148">
        <f t="shared" ca="1" si="62"/>
        <v>1.69</v>
      </c>
      <c r="C215" s="148">
        <f t="shared" ca="1" si="62"/>
        <v>1.59</v>
      </c>
      <c r="D215" s="148">
        <f t="shared" ca="1" si="62"/>
        <v>1.59</v>
      </c>
      <c r="E215" s="148">
        <f t="shared" ca="1" si="62"/>
        <v>1.59</v>
      </c>
      <c r="F215" s="148">
        <f t="shared" ca="1" si="62"/>
        <v>1.59</v>
      </c>
      <c r="G215" s="148">
        <f t="shared" ca="1" si="62"/>
        <v>1.59</v>
      </c>
      <c r="H215" s="148">
        <f t="shared" ca="1" si="62"/>
        <v>1.59</v>
      </c>
      <c r="I215" s="148">
        <f t="shared" ca="1" si="62"/>
        <v>1.59</v>
      </c>
      <c r="J215" s="148">
        <f t="shared" ca="1" si="62"/>
        <v>1.59</v>
      </c>
      <c r="K215" s="148">
        <f t="shared" ca="1" si="62"/>
        <v>1.59</v>
      </c>
      <c r="L215" s="148">
        <f t="shared" ca="1" si="62"/>
        <v>1.59</v>
      </c>
      <c r="M215" s="148">
        <f t="shared" ca="1" si="62"/>
        <v>1.59</v>
      </c>
      <c r="N215" s="148" t="e">
        <f t="shared" ca="1" si="62"/>
        <v>#N/A</v>
      </c>
      <c r="O215" s="148" t="e">
        <f t="shared" ca="1" si="62"/>
        <v>#N/A</v>
      </c>
      <c r="P215" s="148" t="e">
        <f t="shared" ca="1" si="62"/>
        <v>#N/A</v>
      </c>
    </row>
    <row r="216" spans="1:16">
      <c r="A216" s="108" t="str">
        <f t="shared" ref="A216:P216" si="63">A190</f>
        <v>Excelente</v>
      </c>
      <c r="B216" s="148">
        <f t="shared" ca="1" si="63"/>
        <v>1.82</v>
      </c>
      <c r="C216" s="148">
        <f t="shared" ca="1" si="63"/>
        <v>1.71</v>
      </c>
      <c r="D216" s="148">
        <f t="shared" ca="1" si="63"/>
        <v>1.71</v>
      </c>
      <c r="E216" s="148">
        <f t="shared" ca="1" si="63"/>
        <v>1.71</v>
      </c>
      <c r="F216" s="148">
        <f t="shared" ca="1" si="63"/>
        <v>1.71</v>
      </c>
      <c r="G216" s="148">
        <f t="shared" ca="1" si="63"/>
        <v>1.71</v>
      </c>
      <c r="H216" s="148">
        <f t="shared" ca="1" si="63"/>
        <v>1.71</v>
      </c>
      <c r="I216" s="148">
        <f t="shared" ca="1" si="63"/>
        <v>1.71</v>
      </c>
      <c r="J216" s="148">
        <f t="shared" ca="1" si="63"/>
        <v>1.71</v>
      </c>
      <c r="K216" s="148">
        <f t="shared" ca="1" si="63"/>
        <v>1.71</v>
      </c>
      <c r="L216" s="148">
        <f t="shared" ca="1" si="63"/>
        <v>1.71</v>
      </c>
      <c r="M216" s="148">
        <f t="shared" ca="1" si="63"/>
        <v>1.71</v>
      </c>
      <c r="N216" s="148" t="e">
        <f t="shared" ca="1" si="63"/>
        <v>#N/A</v>
      </c>
      <c r="O216" s="148" t="e">
        <f t="shared" ca="1" si="63"/>
        <v>#N/A</v>
      </c>
      <c r="P216" s="148" t="e">
        <f t="shared" ca="1" si="63"/>
        <v>#N/A</v>
      </c>
    </row>
    <row r="217" spans="1:16">
      <c r="A217" s="108" t="str">
        <f t="shared" ref="A217:P217" si="64">A189</f>
        <v>Superior</v>
      </c>
      <c r="B217" s="148">
        <f t="shared" ca="1" si="64"/>
        <v>2.0020000000000002</v>
      </c>
      <c r="C217" s="148">
        <f t="shared" ca="1" si="64"/>
        <v>2.0020000000000002</v>
      </c>
      <c r="D217" s="148">
        <f t="shared" ca="1" si="64"/>
        <v>2.0020000000000002</v>
      </c>
      <c r="E217" s="148">
        <f t="shared" ca="1" si="64"/>
        <v>2.0020000000000002</v>
      </c>
      <c r="F217" s="148">
        <f t="shared" ca="1" si="64"/>
        <v>2.0020000000000002</v>
      </c>
      <c r="G217" s="148" t="str">
        <f t="shared" si="64"/>
        <v/>
      </c>
      <c r="H217" s="148" t="str">
        <f t="shared" si="64"/>
        <v/>
      </c>
      <c r="I217" s="148" t="str">
        <f t="shared" si="64"/>
        <v/>
      </c>
      <c r="J217" s="148" t="str">
        <f t="shared" si="64"/>
        <v/>
      </c>
      <c r="K217" s="148" t="str">
        <f t="shared" si="64"/>
        <v/>
      </c>
      <c r="L217" s="148" t="str">
        <f t="shared" si="64"/>
        <v/>
      </c>
      <c r="M217" s="148" t="str">
        <f t="shared" si="64"/>
        <v/>
      </c>
      <c r="N217" s="148" t="str">
        <f t="shared" si="64"/>
        <v/>
      </c>
      <c r="O217" s="148" t="str">
        <f t="shared" si="64"/>
        <v/>
      </c>
      <c r="P217" s="148" t="str">
        <f t="shared" si="64"/>
        <v/>
      </c>
    </row>
    <row r="218" spans="1:16">
      <c r="B218" s="149"/>
      <c r="C218" s="149"/>
      <c r="D218" s="149"/>
      <c r="E218" s="149"/>
      <c r="F218" s="149"/>
      <c r="G218" s="149"/>
      <c r="H218" s="149"/>
      <c r="I218" s="149"/>
      <c r="J218" s="149"/>
      <c r="K218" s="149"/>
      <c r="L218" s="149"/>
      <c r="M218" s="149"/>
      <c r="N218" s="149"/>
      <c r="O218" s="149"/>
      <c r="P218" s="149"/>
    </row>
    <row r="219" spans="1:16">
      <c r="B219" s="149"/>
      <c r="C219" s="149"/>
      <c r="D219" s="149"/>
      <c r="E219" s="149"/>
      <c r="F219" s="149"/>
      <c r="G219" s="149"/>
      <c r="H219" s="149"/>
      <c r="I219" s="149"/>
      <c r="J219" s="149"/>
      <c r="K219" s="149"/>
      <c r="L219" s="149"/>
      <c r="M219" s="149"/>
      <c r="N219" s="149"/>
      <c r="O219" s="149"/>
      <c r="P219" s="149"/>
    </row>
    <row r="220" spans="1:16">
      <c r="B220" s="149"/>
      <c r="C220" s="149"/>
      <c r="D220" s="149"/>
      <c r="E220" s="149"/>
      <c r="F220" s="149"/>
      <c r="G220" s="149"/>
      <c r="H220" s="149"/>
      <c r="I220" s="149"/>
      <c r="J220" s="149"/>
      <c r="K220" s="149"/>
      <c r="L220" s="149"/>
      <c r="M220" s="149"/>
      <c r="N220" s="149"/>
      <c r="O220" s="149"/>
      <c r="P220" s="149"/>
    </row>
    <row r="221" spans="1:16">
      <c r="A221" s="252"/>
      <c r="B221" s="253" t="str">
        <f t="shared" ref="B221:P221" si="65">B$1</f>
        <v>Av1</v>
      </c>
      <c r="C221" s="253" t="str">
        <f t="shared" si="65"/>
        <v>Av2</v>
      </c>
      <c r="D221" s="253" t="str">
        <f t="shared" si="65"/>
        <v>Av3</v>
      </c>
      <c r="E221" s="253" t="str">
        <f t="shared" si="65"/>
        <v>Av4</v>
      </c>
      <c r="F221" s="253" t="str">
        <f t="shared" si="65"/>
        <v>Av5</v>
      </c>
      <c r="G221" s="253" t="str">
        <f t="shared" si="65"/>
        <v>Av6</v>
      </c>
      <c r="H221" s="253" t="str">
        <f t="shared" si="65"/>
        <v>Av7</v>
      </c>
      <c r="I221" s="253" t="str">
        <f t="shared" si="65"/>
        <v>Av8</v>
      </c>
      <c r="J221" s="253" t="str">
        <f t="shared" si="65"/>
        <v>Av9</v>
      </c>
      <c r="K221" s="253" t="str">
        <f t="shared" si="65"/>
        <v>Av10</v>
      </c>
      <c r="L221" s="253" t="str">
        <f t="shared" si="65"/>
        <v>Av11</v>
      </c>
      <c r="M221" s="253" t="str">
        <f t="shared" si="65"/>
        <v>Av12</v>
      </c>
      <c r="N221" s="253" t="str">
        <f t="shared" si="65"/>
        <v>Av13</v>
      </c>
      <c r="O221" s="253" t="str">
        <f t="shared" si="65"/>
        <v>Av14</v>
      </c>
      <c r="P221" s="253" t="str">
        <f t="shared" si="65"/>
        <v>Av15</v>
      </c>
    </row>
    <row r="222" spans="1:16">
      <c r="A222" s="251" t="str">
        <f>F231</f>
        <v>Superior</v>
      </c>
      <c r="B222" s="254" t="e">
        <f ca="1">MAX(MAX($B$227:$P$227)*1.05,$B$223*1.1)</f>
        <v>#NAME?</v>
      </c>
      <c r="C222" s="254" t="e">
        <f t="shared" ref="C222:P222" ca="1" si="66">IF(C221="","",$B$222)</f>
        <v>#NAME?</v>
      </c>
      <c r="D222" s="255" t="e">
        <f t="shared" ca="1" si="66"/>
        <v>#NAME?</v>
      </c>
      <c r="E222" s="255" t="e">
        <f t="shared" ca="1" si="66"/>
        <v>#NAME?</v>
      </c>
      <c r="F222" s="255" t="e">
        <f t="shared" ca="1" si="66"/>
        <v>#NAME?</v>
      </c>
      <c r="G222" s="255" t="e">
        <f t="shared" ca="1" si="66"/>
        <v>#NAME?</v>
      </c>
      <c r="H222" s="255" t="e">
        <f t="shared" ca="1" si="66"/>
        <v>#NAME?</v>
      </c>
      <c r="I222" s="255" t="e">
        <f t="shared" ca="1" si="66"/>
        <v>#NAME?</v>
      </c>
      <c r="J222" s="255" t="e">
        <f t="shared" ca="1" si="66"/>
        <v>#NAME?</v>
      </c>
      <c r="K222" s="255" t="e">
        <f t="shared" ca="1" si="66"/>
        <v>#NAME?</v>
      </c>
      <c r="L222" s="255" t="e">
        <f t="shared" ca="1" si="66"/>
        <v>#NAME?</v>
      </c>
      <c r="M222" s="255" t="e">
        <f t="shared" ca="1" si="66"/>
        <v>#NAME?</v>
      </c>
      <c r="N222" s="255" t="e">
        <f t="shared" ca="1" si="66"/>
        <v>#NAME?</v>
      </c>
      <c r="O222" s="255" t="e">
        <f t="shared" ca="1" si="66"/>
        <v>#NAME?</v>
      </c>
      <c r="P222" s="255" t="e">
        <f t="shared" ca="1" si="66"/>
        <v>#NAME?</v>
      </c>
    </row>
    <row r="223" spans="1:16">
      <c r="A223" s="251" t="str">
        <f>E231</f>
        <v>Excelente</v>
      </c>
      <c r="B223" s="148">
        <f t="shared" ref="B223:P223" ca="1" si="67">OFFSET($E$231,B$252+$A$78,)</f>
        <v>42.52</v>
      </c>
      <c r="C223" s="148">
        <f t="shared" ca="1" si="67"/>
        <v>42.52</v>
      </c>
      <c r="D223" s="148">
        <f t="shared" ca="1" si="67"/>
        <v>42.52</v>
      </c>
      <c r="E223" s="148">
        <f t="shared" ca="1" si="67"/>
        <v>42.52</v>
      </c>
      <c r="F223" s="148">
        <f t="shared" ca="1" si="67"/>
        <v>42.52</v>
      </c>
      <c r="G223" s="148">
        <f t="shared" ca="1" si="67"/>
        <v>42.52</v>
      </c>
      <c r="H223" s="148">
        <f t="shared" ca="1" si="67"/>
        <v>42.52</v>
      </c>
      <c r="I223" s="148">
        <f t="shared" ca="1" si="67"/>
        <v>42.52</v>
      </c>
      <c r="J223" s="148">
        <f t="shared" ca="1" si="67"/>
        <v>42.52</v>
      </c>
      <c r="K223" s="148">
        <f t="shared" ca="1" si="67"/>
        <v>42.52</v>
      </c>
      <c r="L223" s="148">
        <f t="shared" ca="1" si="67"/>
        <v>42.52</v>
      </c>
      <c r="M223" s="148">
        <f t="shared" ca="1" si="67"/>
        <v>42.52</v>
      </c>
      <c r="N223" s="148" t="e">
        <f t="shared" ca="1" si="67"/>
        <v>#N/A</v>
      </c>
      <c r="O223" s="148" t="e">
        <f t="shared" ca="1" si="67"/>
        <v>#N/A</v>
      </c>
      <c r="P223" s="148" t="e">
        <f t="shared" ca="1" si="67"/>
        <v>#N/A</v>
      </c>
    </row>
    <row r="224" spans="1:16">
      <c r="A224" s="251" t="str">
        <f>D231</f>
        <v>Boa</v>
      </c>
      <c r="B224" s="148">
        <f t="shared" ref="B224:P224" ca="1" si="68">OFFSET($D$231,B$252+$A$78,)</f>
        <v>38.479999999999997</v>
      </c>
      <c r="C224" s="148">
        <f t="shared" ca="1" si="68"/>
        <v>38.479999999999997</v>
      </c>
      <c r="D224" s="148">
        <f t="shared" ca="1" si="68"/>
        <v>38.479999999999997</v>
      </c>
      <c r="E224" s="148">
        <f t="shared" ca="1" si="68"/>
        <v>38.479999999999997</v>
      </c>
      <c r="F224" s="148">
        <f t="shared" ca="1" si="68"/>
        <v>38.479999999999997</v>
      </c>
      <c r="G224" s="148">
        <f t="shared" ca="1" si="68"/>
        <v>38.479999999999997</v>
      </c>
      <c r="H224" s="148">
        <f t="shared" ca="1" si="68"/>
        <v>38.479999999999997</v>
      </c>
      <c r="I224" s="148">
        <f t="shared" ca="1" si="68"/>
        <v>38.479999999999997</v>
      </c>
      <c r="J224" s="148">
        <f t="shared" ca="1" si="68"/>
        <v>38.479999999999997</v>
      </c>
      <c r="K224" s="148">
        <f t="shared" ca="1" si="68"/>
        <v>38.479999999999997</v>
      </c>
      <c r="L224" s="148">
        <f t="shared" ca="1" si="68"/>
        <v>38.479999999999997</v>
      </c>
      <c r="M224" s="148">
        <f t="shared" ca="1" si="68"/>
        <v>38.479999999999997</v>
      </c>
      <c r="N224" s="148" t="e">
        <f t="shared" ca="1" si="68"/>
        <v>#N/A</v>
      </c>
      <c r="O224" s="148" t="e">
        <f t="shared" ca="1" si="68"/>
        <v>#N/A</v>
      </c>
      <c r="P224" s="148" t="e">
        <f t="shared" ca="1" si="68"/>
        <v>#N/A</v>
      </c>
    </row>
    <row r="225" spans="1:16">
      <c r="A225" s="251" t="str">
        <f>C231</f>
        <v>Média</v>
      </c>
      <c r="B225" s="148">
        <f t="shared" ref="B225:P225" ca="1" si="69">OFFSET($C$231,B$252+$A$78,)</f>
        <v>32.409999999999997</v>
      </c>
      <c r="C225" s="148">
        <f t="shared" ca="1" si="69"/>
        <v>32.409999999999997</v>
      </c>
      <c r="D225" s="148">
        <f t="shared" ca="1" si="69"/>
        <v>32.409999999999997</v>
      </c>
      <c r="E225" s="148">
        <f t="shared" ca="1" si="69"/>
        <v>32.409999999999997</v>
      </c>
      <c r="F225" s="148">
        <f t="shared" ca="1" si="69"/>
        <v>32.409999999999997</v>
      </c>
      <c r="G225" s="148">
        <f t="shared" ca="1" si="69"/>
        <v>32.409999999999997</v>
      </c>
      <c r="H225" s="148">
        <f t="shared" ca="1" si="69"/>
        <v>32.409999999999997</v>
      </c>
      <c r="I225" s="148">
        <f t="shared" ca="1" si="69"/>
        <v>32.409999999999997</v>
      </c>
      <c r="J225" s="148">
        <f t="shared" ca="1" si="69"/>
        <v>32.409999999999997</v>
      </c>
      <c r="K225" s="148">
        <f t="shared" ca="1" si="69"/>
        <v>32.409999999999997</v>
      </c>
      <c r="L225" s="148">
        <f t="shared" ca="1" si="69"/>
        <v>32.409999999999997</v>
      </c>
      <c r="M225" s="148">
        <f t="shared" ca="1" si="69"/>
        <v>32.409999999999997</v>
      </c>
      <c r="N225" s="148" t="e">
        <f t="shared" ca="1" si="69"/>
        <v>#N/A</v>
      </c>
      <c r="O225" s="148" t="e">
        <f t="shared" ca="1" si="69"/>
        <v>#N/A</v>
      </c>
      <c r="P225" s="148" t="e">
        <f t="shared" ca="1" si="69"/>
        <v>#N/A</v>
      </c>
    </row>
    <row r="226" spans="1:16">
      <c r="A226" s="251" t="str">
        <f>B231</f>
        <v>Fraca</v>
      </c>
      <c r="B226" s="148">
        <f t="shared" ref="B226:P226" ca="1" si="70">OFFSET($B$231,B$252+$A$78,)</f>
        <v>20.25</v>
      </c>
      <c r="C226" s="148">
        <f t="shared" ca="1" si="70"/>
        <v>20.25</v>
      </c>
      <c r="D226" s="148">
        <f t="shared" ca="1" si="70"/>
        <v>20.25</v>
      </c>
      <c r="E226" s="148">
        <f t="shared" ca="1" si="70"/>
        <v>20.25</v>
      </c>
      <c r="F226" s="148">
        <f t="shared" ca="1" si="70"/>
        <v>20.25</v>
      </c>
      <c r="G226" s="148">
        <f t="shared" ca="1" si="70"/>
        <v>20.25</v>
      </c>
      <c r="H226" s="148">
        <f t="shared" ca="1" si="70"/>
        <v>20.25</v>
      </c>
      <c r="I226" s="148">
        <f t="shared" ca="1" si="70"/>
        <v>20.25</v>
      </c>
      <c r="J226" s="148">
        <f t="shared" ca="1" si="70"/>
        <v>20.25</v>
      </c>
      <c r="K226" s="148">
        <f t="shared" ca="1" si="70"/>
        <v>20.25</v>
      </c>
      <c r="L226" s="148">
        <f t="shared" ca="1" si="70"/>
        <v>20.25</v>
      </c>
      <c r="M226" s="148">
        <f t="shared" ca="1" si="70"/>
        <v>20.25</v>
      </c>
      <c r="N226" s="148" t="e">
        <f t="shared" ca="1" si="70"/>
        <v>#N/A</v>
      </c>
      <c r="O226" s="148" t="e">
        <f t="shared" ca="1" si="70"/>
        <v>#N/A</v>
      </c>
      <c r="P226" s="148" t="e">
        <f t="shared" ca="1" si="70"/>
        <v>#N/A</v>
      </c>
    </row>
    <row r="227" spans="1:16">
      <c r="A227" s="34" t="s">
        <v>979</v>
      </c>
      <c r="B227" s="148">
        <f>'BD tratado'!E138</f>
        <v>42.3</v>
      </c>
      <c r="C227" s="148">
        <f>'BD tratado'!F138</f>
        <v>51.4</v>
      </c>
      <c r="D227" s="148">
        <f>'BD tratado'!G138</f>
        <v>57.4</v>
      </c>
      <c r="E227" s="148">
        <f ca="1">'BD tratado'!H138</f>
        <v>56.6</v>
      </c>
      <c r="F227" s="148">
        <f ca="1">'BD tratado'!I138</f>
        <v>57.4</v>
      </c>
      <c r="G227" s="148">
        <f ca="1">'BD tratado'!J138</f>
        <v>60.46</v>
      </c>
      <c r="H227" s="148">
        <f ca="1">'BD tratado'!K138</f>
        <v>60.46</v>
      </c>
      <c r="I227" s="148">
        <f ca="1">'BD tratado'!L138</f>
        <v>57.44</v>
      </c>
      <c r="J227" s="148" t="e">
        <f ca="1">'BD tratado'!M138</f>
        <v>#NAME?</v>
      </c>
      <c r="K227" s="148">
        <f ca="1">'BD tratado'!N138</f>
        <v>60.46</v>
      </c>
      <c r="L227" s="148">
        <f ca="1">'BD tratado'!O138</f>
        <v>60.46</v>
      </c>
      <c r="M227" s="148">
        <f ca="1">'BD tratado'!P138</f>
        <v>60.46</v>
      </c>
      <c r="N227" s="148">
        <f ca="1">'BD tratado'!Q138</f>
        <v>60.46</v>
      </c>
      <c r="O227" s="148">
        <f ca="1">'BD tratado'!R138</f>
        <v>60.46</v>
      </c>
      <c r="P227" s="148">
        <f ca="1">'BD tratado'!S138</f>
        <v>60.46</v>
      </c>
    </row>
    <row r="228" spans="1:16">
      <c r="A228" s="252"/>
      <c r="B228" s="256"/>
      <c r="C228" s="256"/>
      <c r="D228" s="256"/>
      <c r="E228" s="256"/>
      <c r="F228" s="256"/>
      <c r="G228" s="256"/>
      <c r="H228" s="256"/>
      <c r="I228" s="256"/>
      <c r="J228" s="256"/>
      <c r="K228" s="256"/>
      <c r="L228" s="256"/>
      <c r="M228" s="256"/>
      <c r="N228" s="256"/>
      <c r="O228" s="256"/>
      <c r="P228" s="256"/>
    </row>
    <row r="229" spans="1:16">
      <c r="A229" s="257" t="s">
        <v>980</v>
      </c>
      <c r="B229" s="258" t="str">
        <f t="shared" ref="B229:P229" ca="1" si="71">OFFSET($A$245,MATCH(B227,$B$245:$B$250,1),)</f>
        <v>Excelente</v>
      </c>
      <c r="C229" s="258" t="str">
        <f t="shared" ca="1" si="71"/>
        <v>Superior</v>
      </c>
      <c r="D229" s="258" t="str">
        <f t="shared" ca="1" si="71"/>
        <v>Superior</v>
      </c>
      <c r="E229" s="258" t="str">
        <f t="shared" ca="1" si="71"/>
        <v>Superior</v>
      </c>
      <c r="F229" s="258" t="str">
        <f t="shared" ca="1" si="71"/>
        <v>Superior</v>
      </c>
      <c r="G229" s="258" t="str">
        <f t="shared" ca="1" si="71"/>
        <v>Superior</v>
      </c>
      <c r="H229" s="258" t="str">
        <f t="shared" ca="1" si="71"/>
        <v>Superior</v>
      </c>
      <c r="I229" s="258" t="str">
        <f t="shared" ca="1" si="71"/>
        <v>Superior</v>
      </c>
      <c r="J229" s="258" t="e">
        <f t="shared" ca="1" si="71"/>
        <v>#NAME?</v>
      </c>
      <c r="K229" s="258" t="str">
        <f t="shared" ca="1" si="71"/>
        <v>Superior</v>
      </c>
      <c r="L229" s="258" t="str">
        <f t="shared" ca="1" si="71"/>
        <v>Superior</v>
      </c>
      <c r="M229" s="258" t="str">
        <f t="shared" ca="1" si="71"/>
        <v>Superior</v>
      </c>
      <c r="N229" s="258" t="str">
        <f t="shared" ca="1" si="71"/>
        <v>Superior</v>
      </c>
      <c r="O229" s="258" t="str">
        <f t="shared" ca="1" si="71"/>
        <v>Superior</v>
      </c>
      <c r="P229" s="258" t="str">
        <f t="shared" ca="1" si="71"/>
        <v>Superior</v>
      </c>
    </row>
    <row r="230" spans="1:16">
      <c r="A230" s="252"/>
      <c r="B230" s="252"/>
      <c r="C230" s="252"/>
      <c r="D230" s="252"/>
      <c r="E230" s="252"/>
      <c r="F230" s="252"/>
      <c r="G230" s="256"/>
      <c r="H230" s="256"/>
      <c r="I230" s="256"/>
      <c r="J230" s="256"/>
      <c r="K230" s="256"/>
      <c r="L230" s="256"/>
      <c r="M230" s="256"/>
      <c r="N230" s="256"/>
      <c r="O230" s="256"/>
      <c r="P230" s="256"/>
    </row>
    <row r="231" spans="1:16">
      <c r="A231" s="259">
        <v>0</v>
      </c>
      <c r="B231" s="259" t="s">
        <v>614</v>
      </c>
      <c r="C231" s="259" t="s">
        <v>615</v>
      </c>
      <c r="D231" s="259" t="s">
        <v>616</v>
      </c>
      <c r="E231" s="259" t="s">
        <v>522</v>
      </c>
      <c r="F231" s="259" t="s">
        <v>617</v>
      </c>
      <c r="G231" s="256"/>
      <c r="H231" s="256"/>
      <c r="I231" s="256"/>
      <c r="J231" s="256"/>
      <c r="K231" s="256"/>
      <c r="L231" s="256"/>
      <c r="M231" s="256"/>
      <c r="N231" s="256"/>
      <c r="O231" s="256"/>
      <c r="P231" s="256"/>
    </row>
    <row r="232" spans="1:16">
      <c r="A232" s="260">
        <v>24</v>
      </c>
      <c r="B232" s="261">
        <v>25.3</v>
      </c>
      <c r="C232" s="261">
        <v>40.49</v>
      </c>
      <c r="D232" s="261">
        <v>48.08</v>
      </c>
      <c r="E232" s="261">
        <v>53.13</v>
      </c>
      <c r="F232" s="261"/>
      <c r="G232" s="256"/>
      <c r="H232" s="256"/>
      <c r="I232" s="256"/>
      <c r="J232" s="256"/>
      <c r="K232" s="256"/>
      <c r="L232" s="256"/>
      <c r="M232" s="256"/>
      <c r="N232" s="256"/>
      <c r="O232" s="256"/>
      <c r="P232" s="256"/>
    </row>
    <row r="233" spans="1:16">
      <c r="A233" s="260">
        <v>34</v>
      </c>
      <c r="B233" s="261">
        <v>23.7</v>
      </c>
      <c r="C233" s="261">
        <v>37.93</v>
      </c>
      <c r="D233" s="261">
        <v>45.04</v>
      </c>
      <c r="E233" s="261">
        <v>49.77</v>
      </c>
      <c r="F233" s="261"/>
      <c r="G233" s="256"/>
      <c r="H233" s="256"/>
      <c r="I233" s="256"/>
      <c r="J233" s="256"/>
      <c r="K233" s="256"/>
      <c r="L233" s="256"/>
      <c r="M233" s="256"/>
      <c r="N233" s="256"/>
      <c r="O233" s="256"/>
      <c r="P233" s="256"/>
    </row>
    <row r="234" spans="1:16">
      <c r="A234" s="260">
        <v>44</v>
      </c>
      <c r="B234" s="261">
        <v>22.7</v>
      </c>
      <c r="C234" s="261">
        <v>36.33</v>
      </c>
      <c r="D234" s="261">
        <v>43.14</v>
      </c>
      <c r="E234" s="261">
        <v>47.67</v>
      </c>
      <c r="F234" s="261"/>
      <c r="G234" s="256"/>
      <c r="H234" s="256"/>
      <c r="I234" s="256"/>
      <c r="J234" s="256"/>
      <c r="K234" s="256"/>
      <c r="L234" s="256"/>
      <c r="M234" s="256"/>
      <c r="N234" s="256"/>
      <c r="O234" s="256"/>
      <c r="P234" s="256"/>
    </row>
    <row r="235" spans="1:16">
      <c r="A235" s="260">
        <v>54</v>
      </c>
      <c r="B235" s="261">
        <v>20.25</v>
      </c>
      <c r="C235" s="261">
        <v>32.409999999999997</v>
      </c>
      <c r="D235" s="261">
        <v>38.479999999999997</v>
      </c>
      <c r="E235" s="261">
        <v>42.52</v>
      </c>
      <c r="F235" s="261"/>
      <c r="G235" s="256"/>
      <c r="H235" s="256"/>
      <c r="I235" s="256"/>
      <c r="J235" s="256"/>
      <c r="K235" s="256"/>
      <c r="L235" s="256"/>
      <c r="M235" s="256"/>
      <c r="N235" s="256"/>
      <c r="O235" s="256"/>
      <c r="P235" s="256"/>
    </row>
    <row r="236" spans="1:16">
      <c r="A236" s="260">
        <v>64</v>
      </c>
      <c r="B236" s="261">
        <v>17.649999999999999</v>
      </c>
      <c r="C236" s="261">
        <v>28.25</v>
      </c>
      <c r="D236" s="261">
        <v>33.54</v>
      </c>
      <c r="E236" s="261">
        <v>37.06</v>
      </c>
      <c r="F236" s="261"/>
      <c r="G236" s="256"/>
      <c r="H236" s="256"/>
      <c r="I236" s="256"/>
      <c r="J236" s="256"/>
      <c r="K236" s="256"/>
      <c r="L236" s="256"/>
      <c r="M236" s="256"/>
      <c r="N236" s="256"/>
      <c r="O236" s="256"/>
      <c r="P236" s="256"/>
    </row>
    <row r="237" spans="1:16">
      <c r="A237" s="260"/>
      <c r="B237" s="261">
        <v>15</v>
      </c>
      <c r="C237" s="261">
        <v>24.01</v>
      </c>
      <c r="D237" s="261">
        <v>28.51</v>
      </c>
      <c r="E237" s="261">
        <v>31.5</v>
      </c>
      <c r="F237" s="261"/>
      <c r="G237" s="256"/>
      <c r="H237" s="256"/>
      <c r="I237" s="256"/>
      <c r="J237" s="256"/>
      <c r="K237" s="256"/>
      <c r="L237" s="256"/>
      <c r="M237" s="256"/>
      <c r="N237" s="256"/>
      <c r="O237" s="256"/>
      <c r="P237" s="256"/>
    </row>
    <row r="238" spans="1:16">
      <c r="A238" s="262" t="s">
        <v>775</v>
      </c>
      <c r="B238" s="263">
        <v>19.45</v>
      </c>
      <c r="C238" s="263">
        <v>31.13</v>
      </c>
      <c r="D238" s="263">
        <v>36.950000000000003</v>
      </c>
      <c r="E238" s="263">
        <v>40.85</v>
      </c>
      <c r="F238" s="263"/>
      <c r="G238" s="256"/>
      <c r="H238" s="256"/>
      <c r="I238" s="256"/>
      <c r="J238" s="256"/>
      <c r="K238" s="256"/>
      <c r="L238" s="256"/>
      <c r="M238" s="256"/>
      <c r="N238" s="256"/>
      <c r="O238" s="256"/>
      <c r="P238" s="256"/>
    </row>
    <row r="239" spans="1:16">
      <c r="A239" s="262" t="s">
        <v>787</v>
      </c>
      <c r="B239" s="263">
        <v>19.05</v>
      </c>
      <c r="C239" s="263">
        <v>30.49</v>
      </c>
      <c r="D239" s="263">
        <v>36.19</v>
      </c>
      <c r="E239" s="263">
        <v>40.01</v>
      </c>
      <c r="F239" s="263"/>
      <c r="G239" s="256"/>
      <c r="H239" s="256"/>
      <c r="I239" s="256"/>
      <c r="J239" s="256"/>
      <c r="K239" s="256"/>
      <c r="L239" s="256"/>
      <c r="M239" s="256"/>
      <c r="N239" s="256"/>
      <c r="O239" s="256"/>
      <c r="P239" s="256"/>
    </row>
    <row r="240" spans="1:16">
      <c r="A240" s="262" t="s">
        <v>798</v>
      </c>
      <c r="B240" s="263">
        <v>17.45</v>
      </c>
      <c r="C240" s="263">
        <v>27.93</v>
      </c>
      <c r="D240" s="263">
        <v>33.15</v>
      </c>
      <c r="E240" s="263">
        <v>34.090000000000003</v>
      </c>
      <c r="F240" s="263"/>
      <c r="G240" s="256"/>
      <c r="H240" s="256"/>
      <c r="I240" s="256"/>
      <c r="J240" s="256"/>
      <c r="K240" s="256"/>
      <c r="L240" s="256"/>
      <c r="M240" s="256"/>
      <c r="N240" s="256"/>
      <c r="O240" s="256"/>
      <c r="P240" s="256"/>
    </row>
    <row r="241" spans="1:16">
      <c r="A241" s="262" t="s">
        <v>809</v>
      </c>
      <c r="B241" s="263">
        <v>15.55</v>
      </c>
      <c r="C241" s="263">
        <v>24.89</v>
      </c>
      <c r="D241" s="263">
        <v>29.54</v>
      </c>
      <c r="E241" s="263">
        <v>32.659999999999997</v>
      </c>
      <c r="F241" s="263"/>
      <c r="G241" s="256"/>
      <c r="H241" s="256"/>
      <c r="I241" s="256"/>
      <c r="J241" s="256"/>
      <c r="K241" s="256"/>
      <c r="L241" s="256"/>
      <c r="M241" s="256"/>
      <c r="N241" s="256"/>
      <c r="O241" s="256"/>
      <c r="P241" s="256"/>
    </row>
    <row r="242" spans="1:16">
      <c r="A242" s="262" t="s">
        <v>820</v>
      </c>
      <c r="B242" s="263">
        <v>14.3</v>
      </c>
      <c r="C242" s="263">
        <v>22.89</v>
      </c>
      <c r="D242" s="263">
        <v>27.17</v>
      </c>
      <c r="E242" s="263">
        <v>30.04</v>
      </c>
      <c r="F242" s="263"/>
      <c r="G242" s="256"/>
      <c r="H242" s="256"/>
      <c r="I242" s="256"/>
      <c r="J242" s="256"/>
      <c r="K242" s="256"/>
      <c r="L242" s="256"/>
      <c r="M242" s="256"/>
      <c r="N242" s="256"/>
      <c r="O242" s="256"/>
      <c r="P242" s="256"/>
    </row>
    <row r="243" spans="1:16">
      <c r="A243" s="262" t="s">
        <v>831</v>
      </c>
      <c r="B243" s="263">
        <v>12.55</v>
      </c>
      <c r="C243" s="263">
        <v>20.09</v>
      </c>
      <c r="D243" s="263">
        <v>23.84</v>
      </c>
      <c r="E243" s="263">
        <v>26.36</v>
      </c>
      <c r="F243" s="263"/>
      <c r="G243" s="256"/>
      <c r="H243" s="256"/>
      <c r="I243" s="256"/>
      <c r="J243" s="256"/>
      <c r="K243" s="256"/>
      <c r="L243" s="256"/>
      <c r="M243" s="256"/>
      <c r="N243" s="256"/>
      <c r="O243" s="256"/>
      <c r="P243" s="256"/>
    </row>
    <row r="244" spans="1:16">
      <c r="A244" s="252"/>
      <c r="B244" s="256"/>
      <c r="C244" s="256"/>
      <c r="D244" s="256"/>
      <c r="E244" s="256"/>
      <c r="F244" s="256"/>
      <c r="G244" s="256"/>
      <c r="H244" s="256"/>
      <c r="I244" s="256"/>
      <c r="J244" s="256"/>
      <c r="K244" s="256"/>
      <c r="L244" s="256"/>
      <c r="M244" s="256"/>
      <c r="N244" s="256"/>
      <c r="O244" s="256"/>
      <c r="P244" s="256"/>
    </row>
    <row r="245" spans="1:16">
      <c r="A245" s="252"/>
      <c r="B245" s="149">
        <v>0</v>
      </c>
      <c r="C245" s="149">
        <v>0</v>
      </c>
      <c r="D245" s="149">
        <v>0</v>
      </c>
      <c r="E245" s="149">
        <v>0</v>
      </c>
      <c r="F245" s="149">
        <v>0</v>
      </c>
      <c r="G245" s="149">
        <v>0</v>
      </c>
      <c r="H245" s="149">
        <v>0</v>
      </c>
      <c r="I245" s="149">
        <v>0</v>
      </c>
      <c r="J245" s="149">
        <v>0</v>
      </c>
      <c r="K245" s="149">
        <v>0</v>
      </c>
      <c r="L245" s="149">
        <v>0</v>
      </c>
      <c r="M245" s="149">
        <v>0</v>
      </c>
      <c r="N245" s="149">
        <v>0</v>
      </c>
      <c r="O245" s="149">
        <v>0</v>
      </c>
      <c r="P245" s="149">
        <v>0</v>
      </c>
    </row>
    <row r="246" spans="1:16">
      <c r="A246" s="264" t="str">
        <f t="shared" ref="A246:P246" si="72">A226</f>
        <v>Fraca</v>
      </c>
      <c r="B246" s="148">
        <f t="shared" ca="1" si="72"/>
        <v>20.25</v>
      </c>
      <c r="C246" s="148">
        <f t="shared" ca="1" si="72"/>
        <v>20.25</v>
      </c>
      <c r="D246" s="148">
        <f t="shared" ca="1" si="72"/>
        <v>20.25</v>
      </c>
      <c r="E246" s="148">
        <f t="shared" ca="1" si="72"/>
        <v>20.25</v>
      </c>
      <c r="F246" s="148">
        <f t="shared" ca="1" si="72"/>
        <v>20.25</v>
      </c>
      <c r="G246" s="148">
        <f t="shared" ca="1" si="72"/>
        <v>20.25</v>
      </c>
      <c r="H246" s="148">
        <f t="shared" ca="1" si="72"/>
        <v>20.25</v>
      </c>
      <c r="I246" s="148">
        <f t="shared" ca="1" si="72"/>
        <v>20.25</v>
      </c>
      <c r="J246" s="148">
        <f t="shared" ca="1" si="72"/>
        <v>20.25</v>
      </c>
      <c r="K246" s="148">
        <f t="shared" ca="1" si="72"/>
        <v>20.25</v>
      </c>
      <c r="L246" s="148">
        <f t="shared" ca="1" si="72"/>
        <v>20.25</v>
      </c>
      <c r="M246" s="148">
        <f t="shared" ca="1" si="72"/>
        <v>20.25</v>
      </c>
      <c r="N246" s="148" t="e">
        <f t="shared" ca="1" si="72"/>
        <v>#N/A</v>
      </c>
      <c r="O246" s="148" t="e">
        <f t="shared" ca="1" si="72"/>
        <v>#N/A</v>
      </c>
      <c r="P246" s="148" t="e">
        <f t="shared" ca="1" si="72"/>
        <v>#N/A</v>
      </c>
    </row>
    <row r="247" spans="1:16">
      <c r="A247" s="264" t="str">
        <f t="shared" ref="A247:P247" si="73">A225</f>
        <v>Média</v>
      </c>
      <c r="B247" s="148">
        <f t="shared" ca="1" si="73"/>
        <v>32.409999999999997</v>
      </c>
      <c r="C247" s="148">
        <f t="shared" ca="1" si="73"/>
        <v>32.409999999999997</v>
      </c>
      <c r="D247" s="148">
        <f t="shared" ca="1" si="73"/>
        <v>32.409999999999997</v>
      </c>
      <c r="E247" s="148">
        <f t="shared" ca="1" si="73"/>
        <v>32.409999999999997</v>
      </c>
      <c r="F247" s="148">
        <f t="shared" ca="1" si="73"/>
        <v>32.409999999999997</v>
      </c>
      <c r="G247" s="148">
        <f t="shared" ca="1" si="73"/>
        <v>32.409999999999997</v>
      </c>
      <c r="H247" s="148">
        <f t="shared" ca="1" si="73"/>
        <v>32.409999999999997</v>
      </c>
      <c r="I247" s="148">
        <f t="shared" ca="1" si="73"/>
        <v>32.409999999999997</v>
      </c>
      <c r="J247" s="148">
        <f t="shared" ca="1" si="73"/>
        <v>32.409999999999997</v>
      </c>
      <c r="K247" s="148">
        <f t="shared" ca="1" si="73"/>
        <v>32.409999999999997</v>
      </c>
      <c r="L247" s="148">
        <f t="shared" ca="1" si="73"/>
        <v>32.409999999999997</v>
      </c>
      <c r="M247" s="148">
        <f t="shared" ca="1" si="73"/>
        <v>32.409999999999997</v>
      </c>
      <c r="N247" s="148" t="e">
        <f t="shared" ca="1" si="73"/>
        <v>#N/A</v>
      </c>
      <c r="O247" s="148" t="e">
        <f t="shared" ca="1" si="73"/>
        <v>#N/A</v>
      </c>
      <c r="P247" s="148" t="e">
        <f t="shared" ca="1" si="73"/>
        <v>#N/A</v>
      </c>
    </row>
    <row r="248" spans="1:16">
      <c r="A248" s="264" t="str">
        <f t="shared" ref="A248:P248" si="74">A224</f>
        <v>Boa</v>
      </c>
      <c r="B248" s="148">
        <f t="shared" ca="1" si="74"/>
        <v>38.479999999999997</v>
      </c>
      <c r="C248" s="148">
        <f t="shared" ca="1" si="74"/>
        <v>38.479999999999997</v>
      </c>
      <c r="D248" s="148">
        <f t="shared" ca="1" si="74"/>
        <v>38.479999999999997</v>
      </c>
      <c r="E248" s="148">
        <f t="shared" ca="1" si="74"/>
        <v>38.479999999999997</v>
      </c>
      <c r="F248" s="148">
        <f t="shared" ca="1" si="74"/>
        <v>38.479999999999997</v>
      </c>
      <c r="G248" s="148">
        <f t="shared" ca="1" si="74"/>
        <v>38.479999999999997</v>
      </c>
      <c r="H248" s="148">
        <f t="shared" ca="1" si="74"/>
        <v>38.479999999999997</v>
      </c>
      <c r="I248" s="148">
        <f t="shared" ca="1" si="74"/>
        <v>38.479999999999997</v>
      </c>
      <c r="J248" s="148">
        <f t="shared" ca="1" si="74"/>
        <v>38.479999999999997</v>
      </c>
      <c r="K248" s="148">
        <f t="shared" ca="1" si="74"/>
        <v>38.479999999999997</v>
      </c>
      <c r="L248" s="148">
        <f t="shared" ca="1" si="74"/>
        <v>38.479999999999997</v>
      </c>
      <c r="M248" s="148">
        <f t="shared" ca="1" si="74"/>
        <v>38.479999999999997</v>
      </c>
      <c r="N248" s="148" t="e">
        <f t="shared" ca="1" si="74"/>
        <v>#N/A</v>
      </c>
      <c r="O248" s="148" t="e">
        <f t="shared" ca="1" si="74"/>
        <v>#N/A</v>
      </c>
      <c r="P248" s="148" t="e">
        <f t="shared" ca="1" si="74"/>
        <v>#N/A</v>
      </c>
    </row>
    <row r="249" spans="1:16">
      <c r="A249" s="264" t="str">
        <f t="shared" ref="A249:P249" si="75">A223</f>
        <v>Excelente</v>
      </c>
      <c r="B249" s="148">
        <f t="shared" ca="1" si="75"/>
        <v>42.52</v>
      </c>
      <c r="C249" s="148">
        <f t="shared" ca="1" si="75"/>
        <v>42.52</v>
      </c>
      <c r="D249" s="148">
        <f t="shared" ca="1" si="75"/>
        <v>42.52</v>
      </c>
      <c r="E249" s="148">
        <f t="shared" ca="1" si="75"/>
        <v>42.52</v>
      </c>
      <c r="F249" s="148">
        <f t="shared" ca="1" si="75"/>
        <v>42.52</v>
      </c>
      <c r="G249" s="148">
        <f t="shared" ca="1" si="75"/>
        <v>42.52</v>
      </c>
      <c r="H249" s="148">
        <f t="shared" ca="1" si="75"/>
        <v>42.52</v>
      </c>
      <c r="I249" s="148">
        <f t="shared" ca="1" si="75"/>
        <v>42.52</v>
      </c>
      <c r="J249" s="148">
        <f t="shared" ca="1" si="75"/>
        <v>42.52</v>
      </c>
      <c r="K249" s="148">
        <f t="shared" ca="1" si="75"/>
        <v>42.52</v>
      </c>
      <c r="L249" s="148">
        <f t="shared" ca="1" si="75"/>
        <v>42.52</v>
      </c>
      <c r="M249" s="148">
        <f t="shared" ca="1" si="75"/>
        <v>42.52</v>
      </c>
      <c r="N249" s="148" t="e">
        <f t="shared" ca="1" si="75"/>
        <v>#N/A</v>
      </c>
      <c r="O249" s="148" t="e">
        <f t="shared" ca="1" si="75"/>
        <v>#N/A</v>
      </c>
      <c r="P249" s="148" t="e">
        <f t="shared" ca="1" si="75"/>
        <v>#N/A</v>
      </c>
    </row>
    <row r="250" spans="1:16">
      <c r="A250" s="264" t="str">
        <f t="shared" ref="A250:P250" si="76">A222</f>
        <v>Superior</v>
      </c>
      <c r="B250" s="148" t="e">
        <f t="shared" ca="1" si="76"/>
        <v>#NAME?</v>
      </c>
      <c r="C250" s="148" t="e">
        <f t="shared" ca="1" si="76"/>
        <v>#NAME?</v>
      </c>
      <c r="D250" s="148" t="e">
        <f t="shared" ca="1" si="76"/>
        <v>#NAME?</v>
      </c>
      <c r="E250" s="148" t="e">
        <f t="shared" ca="1" si="76"/>
        <v>#NAME?</v>
      </c>
      <c r="F250" s="148" t="e">
        <f t="shared" ca="1" si="76"/>
        <v>#NAME?</v>
      </c>
      <c r="G250" s="148" t="e">
        <f t="shared" ca="1" si="76"/>
        <v>#NAME?</v>
      </c>
      <c r="H250" s="148" t="e">
        <f t="shared" ca="1" si="76"/>
        <v>#NAME?</v>
      </c>
      <c r="I250" s="148" t="e">
        <f t="shared" ca="1" si="76"/>
        <v>#NAME?</v>
      </c>
      <c r="J250" s="148" t="e">
        <f t="shared" ca="1" si="76"/>
        <v>#NAME?</v>
      </c>
      <c r="K250" s="148" t="e">
        <f t="shared" ca="1" si="76"/>
        <v>#NAME?</v>
      </c>
      <c r="L250" s="148" t="e">
        <f t="shared" ca="1" si="76"/>
        <v>#NAME?</v>
      </c>
      <c r="M250" s="148" t="e">
        <f t="shared" ca="1" si="76"/>
        <v>#NAME?</v>
      </c>
      <c r="N250" s="148" t="e">
        <f t="shared" ca="1" si="76"/>
        <v>#NAME?</v>
      </c>
      <c r="O250" s="148" t="e">
        <f t="shared" ca="1" si="76"/>
        <v>#NAME?</v>
      </c>
      <c r="P250" s="148" t="e">
        <f t="shared" ca="1" si="76"/>
        <v>#NAME?</v>
      </c>
    </row>
    <row r="251" spans="1:16">
      <c r="A251" s="252"/>
      <c r="B251" s="256"/>
      <c r="C251" s="256"/>
      <c r="D251" s="256"/>
      <c r="E251" s="256"/>
      <c r="F251" s="256"/>
      <c r="G251" s="256"/>
      <c r="H251" s="256"/>
      <c r="I251" s="256"/>
      <c r="J251" s="256"/>
      <c r="K251" s="256"/>
      <c r="L251" s="256"/>
      <c r="M251" s="256"/>
      <c r="N251" s="256"/>
      <c r="O251" s="256"/>
      <c r="P251" s="256"/>
    </row>
    <row r="252" spans="1:16">
      <c r="A252" s="34" t="s">
        <v>981</v>
      </c>
      <c r="B252" s="12">
        <f t="shared" ref="B252:P252" si="77">MATCH(B$56,$A$231:$A$236,1)</f>
        <v>4</v>
      </c>
      <c r="C252" s="12">
        <f t="shared" si="77"/>
        <v>4</v>
      </c>
      <c r="D252" s="12">
        <f t="shared" si="77"/>
        <v>4</v>
      </c>
      <c r="E252" s="12">
        <f t="shared" si="77"/>
        <v>4</v>
      </c>
      <c r="F252" s="12">
        <f t="shared" si="77"/>
        <v>4</v>
      </c>
      <c r="G252" s="12">
        <f t="shared" si="77"/>
        <v>4</v>
      </c>
      <c r="H252" s="12">
        <f t="shared" si="77"/>
        <v>4</v>
      </c>
      <c r="I252" s="12">
        <f t="shared" si="77"/>
        <v>4</v>
      </c>
      <c r="J252" s="12">
        <f t="shared" si="77"/>
        <v>4</v>
      </c>
      <c r="K252" s="12">
        <f t="shared" si="77"/>
        <v>4</v>
      </c>
      <c r="L252" s="12">
        <f t="shared" si="77"/>
        <v>4</v>
      </c>
      <c r="M252" s="12">
        <f t="shared" si="77"/>
        <v>4</v>
      </c>
      <c r="N252" s="12" t="e">
        <f t="shared" si="77"/>
        <v>#N/A</v>
      </c>
      <c r="O252" s="12" t="e">
        <f t="shared" si="77"/>
        <v>#N/A</v>
      </c>
      <c r="P252" s="12" t="e">
        <f t="shared" si="77"/>
        <v>#N/A</v>
      </c>
    </row>
    <row r="253" spans="1:16">
      <c r="B253" s="149"/>
      <c r="C253" s="149"/>
      <c r="D253" s="149"/>
      <c r="E253" s="149"/>
      <c r="F253" s="149"/>
      <c r="G253" s="149"/>
      <c r="H253" s="149"/>
      <c r="I253" s="149"/>
      <c r="J253" s="149"/>
      <c r="K253" s="149"/>
      <c r="L253" s="149"/>
      <c r="M253" s="149"/>
      <c r="N253" s="149"/>
      <c r="O253" s="149"/>
      <c r="P253" s="149"/>
    </row>
    <row r="254" spans="1:16">
      <c r="B254" s="149" t="str">
        <f>Laudo!C592</f>
        <v>Av4</v>
      </c>
      <c r="C254" s="149"/>
      <c r="D254" s="149"/>
      <c r="E254" s="149"/>
      <c r="F254" s="149"/>
      <c r="G254" s="149"/>
      <c r="H254" s="149"/>
      <c r="I254" s="149"/>
      <c r="J254" s="149"/>
      <c r="K254" s="149"/>
      <c r="L254" s="149"/>
      <c r="M254" s="149"/>
      <c r="N254" s="149"/>
      <c r="O254" s="149"/>
      <c r="P254" s="149"/>
    </row>
    <row r="255" spans="1:16">
      <c r="A255" s="12" t="str">
        <f>Metabólica!A16</f>
        <v>Estágio</v>
      </c>
      <c r="B255" s="149" t="str">
        <f>Laudo!C592</f>
        <v>Av4</v>
      </c>
      <c r="C255" s="149">
        <f ca="1">Laudo!J592</f>
        <v>0</v>
      </c>
      <c r="D255" s="149"/>
      <c r="E255" s="149"/>
      <c r="F255" s="149"/>
      <c r="G255" s="149" t="s">
        <v>982</v>
      </c>
      <c r="H255" s="149"/>
      <c r="I255" s="149"/>
      <c r="J255" s="149"/>
      <c r="K255" s="149"/>
      <c r="L255" s="149"/>
      <c r="M255" s="149"/>
      <c r="N255" s="149"/>
      <c r="O255" s="149"/>
      <c r="P255" s="149"/>
    </row>
    <row r="256" spans="1:16">
      <c r="A256" s="12">
        <f ca="1">IFERROR(__xludf.DUMMYFUNCTION("FILTER('Metabólica'!$A$17:$A$34,$D$256:$D$273&gt;0)"),0)</f>
        <v>0</v>
      </c>
      <c r="B256" s="12">
        <f ca="1">OFFSET(Metabólica!$D17,0,B$281)</f>
        <v>45</v>
      </c>
      <c r="C256" s="12" t="str">
        <f ca="1">IF(OR($C$255="",$D$281),"",OFFSET(Metabólica!$D17,0,C$281))</f>
        <v/>
      </c>
      <c r="D256" s="12" t="e">
        <f t="shared" ref="D256:D273" ca="1" si="78">B256+C256</f>
        <v>#VALUE!</v>
      </c>
      <c r="E256" s="12"/>
      <c r="F256" s="12"/>
      <c r="G256" s="12"/>
      <c r="H256" s="12"/>
      <c r="I256" s="12"/>
      <c r="J256" s="12"/>
      <c r="K256" s="12"/>
      <c r="L256" s="12"/>
      <c r="M256" s="12"/>
      <c r="N256" s="12"/>
      <c r="O256" s="12"/>
      <c r="P256" s="12"/>
    </row>
    <row r="257" spans="1:16">
      <c r="A257" s="12">
        <f ca="1">IFERROR(__xludf.DUMMYFUNCTION("""COMPUTED_VALUE"""),6)</f>
        <v>6</v>
      </c>
      <c r="B257" s="12">
        <f ca="1">OFFSET(Metabólica!$D18,0,B$281)</f>
        <v>0</v>
      </c>
      <c r="C257" s="12" t="str">
        <f ca="1">IF(OR($C$255="",$D$281),"",OFFSET(Metabólica!$D18,0,C$281))</f>
        <v/>
      </c>
      <c r="D257" s="12" t="e">
        <f t="shared" ca="1" si="78"/>
        <v>#VALUE!</v>
      </c>
      <c r="E257" s="12"/>
      <c r="F257" s="12"/>
      <c r="G257" s="12"/>
      <c r="H257" s="12"/>
      <c r="I257" s="12"/>
      <c r="J257" s="12"/>
      <c r="K257" s="12"/>
      <c r="L257" s="12"/>
      <c r="M257" s="12"/>
      <c r="N257" s="12"/>
      <c r="O257" s="12"/>
      <c r="P257" s="12"/>
    </row>
    <row r="258" spans="1:16">
      <c r="A258" s="12">
        <f ca="1">IFERROR(__xludf.DUMMYFUNCTION("""COMPUTED_VALUE"""),7)</f>
        <v>7</v>
      </c>
      <c r="B258" s="12">
        <f ca="1">OFFSET(Metabólica!$D19,0,B$281)</f>
        <v>0</v>
      </c>
      <c r="C258" s="12" t="str">
        <f ca="1">IF(OR($C$255="",$D$281),"",OFFSET(Metabólica!$D19,0,C$281))</f>
        <v/>
      </c>
      <c r="D258" s="12" t="e">
        <f t="shared" ca="1" si="78"/>
        <v>#VALUE!</v>
      </c>
      <c r="E258" s="12"/>
      <c r="F258" s="12"/>
      <c r="G258" s="12"/>
      <c r="H258" s="12"/>
      <c r="I258" s="12"/>
      <c r="J258" s="12"/>
      <c r="K258" s="12"/>
      <c r="L258" s="12"/>
      <c r="M258" s="12"/>
      <c r="N258" s="12"/>
      <c r="O258" s="12"/>
      <c r="P258" s="12"/>
    </row>
    <row r="259" spans="1:16">
      <c r="A259" s="12">
        <f ca="1">IFERROR(__xludf.DUMMYFUNCTION("""COMPUTED_VALUE"""),8)</f>
        <v>8</v>
      </c>
      <c r="B259" s="12">
        <f ca="1">OFFSET(Metabólica!$D20,0,B$281)</f>
        <v>0</v>
      </c>
      <c r="C259" s="12" t="str">
        <f ca="1">IF(OR($C$255="",$D$281),"",OFFSET(Metabólica!$D20,0,C$281))</f>
        <v/>
      </c>
      <c r="D259" s="12" t="e">
        <f t="shared" ca="1" si="78"/>
        <v>#VALUE!</v>
      </c>
      <c r="E259" s="12"/>
      <c r="F259" s="12"/>
      <c r="G259" s="12"/>
      <c r="H259" s="12"/>
      <c r="I259" s="12"/>
      <c r="J259" s="12"/>
      <c r="K259" s="12"/>
      <c r="L259" s="12"/>
      <c r="M259" s="12"/>
      <c r="N259" s="12"/>
      <c r="O259" s="12"/>
      <c r="P259" s="12"/>
    </row>
    <row r="260" spans="1:16">
      <c r="A260" s="12">
        <f ca="1">IFERROR(__xludf.DUMMYFUNCTION("""COMPUTED_VALUE"""),9)</f>
        <v>9</v>
      </c>
      <c r="B260" s="12">
        <f ca="1">OFFSET(Metabólica!$D21,0,B$281)</f>
        <v>0</v>
      </c>
      <c r="C260" s="12" t="str">
        <f ca="1">IF(OR($C$255="",$D$281),"",OFFSET(Metabólica!$D21,0,C$281))</f>
        <v/>
      </c>
      <c r="D260" s="12" t="e">
        <f t="shared" ca="1" si="78"/>
        <v>#VALUE!</v>
      </c>
      <c r="E260" s="12"/>
      <c r="F260" s="12"/>
      <c r="G260" s="12"/>
      <c r="H260" s="12"/>
      <c r="I260" s="12"/>
      <c r="J260" s="12"/>
      <c r="K260" s="12"/>
      <c r="L260" s="12"/>
      <c r="M260" s="12"/>
      <c r="N260" s="12"/>
      <c r="O260" s="12"/>
      <c r="P260" s="12"/>
    </row>
    <row r="261" spans="1:16">
      <c r="A261" s="12">
        <f ca="1">IFERROR(__xludf.DUMMYFUNCTION("""COMPUTED_VALUE"""),10)</f>
        <v>10</v>
      </c>
      <c r="B261" s="12">
        <f ca="1">OFFSET(Metabólica!$D22,0,B$281)</f>
        <v>0</v>
      </c>
      <c r="C261" s="12" t="str">
        <f ca="1">IF(OR($C$255="",$D$281),"",OFFSET(Metabólica!$D22,0,C$281))</f>
        <v/>
      </c>
      <c r="D261" s="12" t="e">
        <f t="shared" ca="1" si="78"/>
        <v>#VALUE!</v>
      </c>
      <c r="E261" s="12"/>
      <c r="F261" s="12"/>
      <c r="G261" s="12"/>
      <c r="H261" s="12"/>
      <c r="I261" s="12"/>
      <c r="J261" s="12"/>
      <c r="K261" s="12"/>
      <c r="L261" s="12"/>
      <c r="M261" s="12"/>
      <c r="N261" s="12"/>
      <c r="O261" s="12"/>
      <c r="P261" s="12"/>
    </row>
    <row r="262" spans="1:16">
      <c r="A262" s="12">
        <f ca="1">IFERROR(__xludf.DUMMYFUNCTION("""COMPUTED_VALUE"""),11)</f>
        <v>11</v>
      </c>
      <c r="B262" s="12">
        <f ca="1">OFFSET(Metabólica!$D23,0,B$281)</f>
        <v>115</v>
      </c>
      <c r="C262" s="12" t="str">
        <f ca="1">IF(OR($C$255="",$D$281),"",OFFSET(Metabólica!$D23,0,C$281))</f>
        <v/>
      </c>
      <c r="D262" s="12" t="e">
        <f t="shared" ca="1" si="78"/>
        <v>#VALUE!</v>
      </c>
      <c r="E262" s="12"/>
      <c r="F262" s="12"/>
      <c r="G262" s="12"/>
      <c r="H262" s="12"/>
      <c r="I262" s="12"/>
      <c r="J262" s="12"/>
      <c r="K262" s="12"/>
      <c r="L262" s="12"/>
      <c r="M262" s="12"/>
      <c r="N262" s="12"/>
      <c r="O262" s="12"/>
      <c r="P262" s="12"/>
    </row>
    <row r="263" spans="1:16">
      <c r="A263" s="12">
        <f ca="1">IFERROR(__xludf.DUMMYFUNCTION("""COMPUTED_VALUE"""),12)</f>
        <v>12</v>
      </c>
      <c r="B263" s="12">
        <f ca="1">OFFSET(Metabólica!$D24,0,B$281)</f>
        <v>123</v>
      </c>
      <c r="C263" s="12" t="str">
        <f ca="1">IF(OR($C$255="",$D$281),"",OFFSET(Metabólica!$D24,0,C$281))</f>
        <v/>
      </c>
      <c r="D263" s="12" t="e">
        <f t="shared" ca="1" si="78"/>
        <v>#VALUE!</v>
      </c>
      <c r="E263" s="12"/>
      <c r="F263" s="12"/>
      <c r="G263" s="12"/>
      <c r="H263" s="12"/>
      <c r="I263" s="12"/>
      <c r="J263" s="12"/>
      <c r="K263" s="12"/>
      <c r="L263" s="12"/>
      <c r="M263" s="12"/>
      <c r="N263" s="12"/>
      <c r="O263" s="12"/>
      <c r="P263" s="12"/>
    </row>
    <row r="264" spans="1:16">
      <c r="A264" s="12">
        <f ca="1">IFERROR(__xludf.DUMMYFUNCTION("""COMPUTED_VALUE"""),13)</f>
        <v>13</v>
      </c>
      <c r="B264" s="12">
        <f ca="1">OFFSET(Metabólica!$D25,0,B$281)</f>
        <v>129</v>
      </c>
      <c r="C264" s="12" t="str">
        <f ca="1">IF(OR($C$255="",$D$281),"",OFFSET(Metabólica!$D25,0,C$281))</f>
        <v/>
      </c>
      <c r="D264" s="12" t="e">
        <f t="shared" ca="1" si="78"/>
        <v>#VALUE!</v>
      </c>
      <c r="E264" s="12"/>
      <c r="F264" s="12"/>
      <c r="G264" s="12"/>
      <c r="H264" s="12"/>
      <c r="I264" s="12"/>
      <c r="J264" s="12"/>
      <c r="K264" s="12"/>
      <c r="L264" s="12"/>
      <c r="M264" s="12"/>
      <c r="N264" s="12"/>
      <c r="O264" s="12"/>
      <c r="P264" s="12"/>
    </row>
    <row r="265" spans="1:16">
      <c r="A265" s="12">
        <f ca="1">IFERROR(__xludf.DUMMYFUNCTION("""COMPUTED_VALUE"""),14)</f>
        <v>14</v>
      </c>
      <c r="B265" s="12">
        <f ca="1">OFFSET(Metabólica!$D26,0,B$281)</f>
        <v>139</v>
      </c>
      <c r="C265" s="12" t="str">
        <f ca="1">IF(OR($C$255="",$D$281),"",OFFSET(Metabólica!$D26,0,C$281))</f>
        <v/>
      </c>
      <c r="D265" s="12" t="e">
        <f t="shared" ca="1" si="78"/>
        <v>#VALUE!</v>
      </c>
      <c r="E265" s="12"/>
      <c r="F265" s="12"/>
      <c r="G265" s="12"/>
      <c r="H265" s="12"/>
      <c r="I265" s="12"/>
      <c r="J265" s="12"/>
      <c r="K265" s="12"/>
      <c r="L265" s="12"/>
      <c r="M265" s="12"/>
      <c r="N265" s="12"/>
      <c r="O265" s="12"/>
      <c r="P265" s="12"/>
    </row>
    <row r="266" spans="1:16">
      <c r="A266" s="12">
        <f ca="1">IFERROR(__xludf.DUMMYFUNCTION("""COMPUTED_VALUE"""),15)</f>
        <v>15</v>
      </c>
      <c r="B266" s="12">
        <f ca="1">OFFSET(Metabólica!$D27,0,B$281)</f>
        <v>143</v>
      </c>
      <c r="C266" s="12" t="str">
        <f ca="1">IF(OR($C$255="",$D$281),"",OFFSET(Metabólica!$D27,0,C$281))</f>
        <v/>
      </c>
      <c r="D266" s="12" t="e">
        <f t="shared" ca="1" si="78"/>
        <v>#VALUE!</v>
      </c>
      <c r="E266" s="12"/>
      <c r="F266" s="12"/>
      <c r="G266" s="12"/>
      <c r="H266" s="12"/>
      <c r="I266" s="12"/>
      <c r="J266" s="12"/>
      <c r="K266" s="12"/>
      <c r="L266" s="12"/>
      <c r="M266" s="12"/>
      <c r="N266" s="12"/>
      <c r="O266" s="12"/>
      <c r="P266" s="12"/>
    </row>
    <row r="267" spans="1:16">
      <c r="A267" s="12"/>
      <c r="B267" s="12">
        <f ca="1">OFFSET(Metabólica!$D28,0,B$281)</f>
        <v>148</v>
      </c>
      <c r="C267" s="12" t="str">
        <f ca="1">IF(OR($C$255="",$D$281),"",OFFSET(Metabólica!$D28,0,C$281))</f>
        <v/>
      </c>
      <c r="D267" s="12" t="e">
        <f t="shared" ca="1" si="78"/>
        <v>#VALUE!</v>
      </c>
      <c r="E267" s="12"/>
      <c r="F267" s="12"/>
      <c r="G267" s="12"/>
      <c r="H267" s="12"/>
      <c r="I267" s="12"/>
      <c r="J267" s="12"/>
      <c r="K267" s="12"/>
      <c r="L267" s="12"/>
      <c r="M267" s="12"/>
      <c r="N267" s="12"/>
      <c r="O267" s="12"/>
      <c r="P267" s="12"/>
    </row>
    <row r="268" spans="1:16">
      <c r="A268" s="12"/>
      <c r="B268" s="12">
        <f ca="1">OFFSET(Metabólica!$D29,0,B$281)</f>
        <v>151</v>
      </c>
      <c r="C268" s="12" t="str">
        <f ca="1">IF(OR($C$255="",$D$281),"",OFFSET(Metabólica!$D29,0,C$281))</f>
        <v/>
      </c>
      <c r="D268" s="12" t="e">
        <f t="shared" ca="1" si="78"/>
        <v>#VALUE!</v>
      </c>
      <c r="E268" s="12"/>
      <c r="F268" s="12"/>
      <c r="G268" s="12"/>
      <c r="H268" s="12"/>
      <c r="I268" s="12"/>
      <c r="J268" s="12"/>
      <c r="K268" s="12"/>
      <c r="L268" s="12"/>
      <c r="M268" s="12"/>
      <c r="N268" s="12"/>
      <c r="O268" s="12"/>
      <c r="P268" s="12"/>
    </row>
    <row r="269" spans="1:16">
      <c r="A269" s="12"/>
      <c r="B269" s="12">
        <f ca="1">OFFSET(Metabólica!$D30,0,B$281)</f>
        <v>155</v>
      </c>
      <c r="C269" s="12" t="str">
        <f ca="1">IF(OR($C$255="",$D$281),"",OFFSET(Metabólica!$D30,0,C$281))</f>
        <v/>
      </c>
      <c r="D269" s="12" t="e">
        <f t="shared" ca="1" si="78"/>
        <v>#VALUE!</v>
      </c>
      <c r="E269" s="12"/>
      <c r="F269" s="12"/>
      <c r="G269" s="12"/>
      <c r="H269" s="12"/>
      <c r="I269" s="12"/>
      <c r="J269" s="12"/>
      <c r="K269" s="12"/>
      <c r="L269" s="12"/>
      <c r="M269" s="12"/>
      <c r="N269" s="12"/>
      <c r="O269" s="12"/>
      <c r="P269" s="12"/>
    </row>
    <row r="270" spans="1:16">
      <c r="A270" s="12"/>
      <c r="B270" s="12">
        <f ca="1">OFFSET(Metabólica!$D31,0,B$281)</f>
        <v>0</v>
      </c>
      <c r="C270" s="12" t="str">
        <f ca="1">IF(OR($C$255="",$D$281),"",OFFSET(Metabólica!$D31,0,C$281))</f>
        <v/>
      </c>
      <c r="D270" s="12" t="e">
        <f t="shared" ca="1" si="78"/>
        <v>#VALUE!</v>
      </c>
      <c r="E270" s="12"/>
      <c r="F270" s="12"/>
      <c r="G270" s="12"/>
      <c r="H270" s="12"/>
      <c r="I270" s="12"/>
      <c r="J270" s="12"/>
      <c r="K270" s="12"/>
      <c r="L270" s="12"/>
      <c r="M270" s="12"/>
      <c r="N270" s="12"/>
      <c r="O270" s="12"/>
      <c r="P270" s="12"/>
    </row>
    <row r="271" spans="1:16">
      <c r="A271" s="12"/>
      <c r="B271" s="12">
        <f ca="1">OFFSET(Metabólica!$D32,0,B$281)</f>
        <v>0</v>
      </c>
      <c r="C271" s="12" t="str">
        <f ca="1">IF(OR($C$255="",$D$281),"",OFFSET(Metabólica!$D32,0,C$281))</f>
        <v/>
      </c>
      <c r="D271" s="12" t="e">
        <f t="shared" ca="1" si="78"/>
        <v>#VALUE!</v>
      </c>
      <c r="E271" s="12"/>
      <c r="F271" s="12"/>
      <c r="G271" s="12"/>
      <c r="H271" s="12"/>
      <c r="I271" s="12"/>
      <c r="J271" s="12"/>
      <c r="K271" s="12"/>
      <c r="L271" s="12"/>
      <c r="M271" s="12"/>
      <c r="N271" s="12"/>
      <c r="O271" s="12"/>
      <c r="P271" s="12"/>
    </row>
    <row r="272" spans="1:16">
      <c r="A272" s="12"/>
      <c r="B272" s="12">
        <f ca="1">OFFSET(Metabólica!$D33,0,B$281)</f>
        <v>0</v>
      </c>
      <c r="C272" s="12" t="str">
        <f ca="1">IF(OR($C$255="",$D$281),"",OFFSET(Metabólica!$D33,0,C$281))</f>
        <v/>
      </c>
      <c r="D272" s="12" t="e">
        <f t="shared" ca="1" si="78"/>
        <v>#VALUE!</v>
      </c>
      <c r="E272" s="12"/>
      <c r="F272" s="12"/>
      <c r="G272" s="12"/>
      <c r="H272" s="12"/>
      <c r="I272" s="12"/>
      <c r="J272" s="12"/>
      <c r="K272" s="12"/>
      <c r="L272" s="12"/>
      <c r="M272" s="12"/>
      <c r="N272" s="12"/>
      <c r="O272" s="12"/>
      <c r="P272" s="12"/>
    </row>
    <row r="273" spans="1:16">
      <c r="A273" s="12"/>
      <c r="B273" s="12">
        <f ca="1">OFFSET(Metabólica!$D34,0,B$281)</f>
        <v>0</v>
      </c>
      <c r="C273" s="12" t="str">
        <f ca="1">IF(OR($C$255="",$D$281),"",OFFSET(Metabólica!$D34,0,C$281))</f>
        <v/>
      </c>
      <c r="D273" s="12" t="e">
        <f t="shared" ca="1" si="78"/>
        <v>#VALUE!</v>
      </c>
      <c r="E273" s="12"/>
      <c r="F273" s="12"/>
      <c r="G273" s="12"/>
      <c r="H273" s="12"/>
      <c r="I273" s="12"/>
      <c r="J273" s="12"/>
      <c r="K273" s="12"/>
      <c r="L273" s="12"/>
      <c r="M273" s="12"/>
      <c r="N273" s="12"/>
      <c r="O273" s="12"/>
      <c r="P273" s="12"/>
    </row>
    <row r="275" spans="1:16">
      <c r="B275" s="149" t="str">
        <f t="shared" ref="B275:C275" si="79">B255</f>
        <v>Av4</v>
      </c>
      <c r="C275" s="149">
        <f t="shared" ca="1" si="79"/>
        <v>0</v>
      </c>
      <c r="D275" s="12"/>
      <c r="E275" s="12"/>
      <c r="F275" s="12"/>
      <c r="G275" s="12"/>
      <c r="H275" s="12"/>
      <c r="I275" s="12"/>
      <c r="J275" s="12"/>
      <c r="K275" s="12"/>
      <c r="L275" s="12"/>
      <c r="M275" s="12"/>
      <c r="N275" s="12"/>
      <c r="O275" s="12"/>
      <c r="P275" s="12"/>
    </row>
    <row r="276" spans="1:16">
      <c r="A276" s="12" t="s">
        <v>949</v>
      </c>
      <c r="B276" s="12">
        <f ca="1">OFFSET(Metabólica!$D14,0,B$281)</f>
        <v>155</v>
      </c>
      <c r="C276" s="12" t="str">
        <f ca="1">IF(OR($C$255="",$D$281),"",OFFSET(Metabólica!$D37,0,C$281))</f>
        <v/>
      </c>
      <c r="D276" s="12"/>
      <c r="E276" s="12"/>
      <c r="F276" s="12"/>
      <c r="G276" s="12"/>
      <c r="H276" s="12"/>
      <c r="I276" s="12"/>
      <c r="J276" s="12"/>
      <c r="K276" s="12"/>
      <c r="L276" s="12"/>
      <c r="M276" s="12"/>
      <c r="N276" s="12"/>
      <c r="O276" s="12"/>
      <c r="P276" s="12"/>
    </row>
    <row r="277" spans="1:16">
      <c r="A277" s="12" t="str">
        <f>Metabólica!A35</f>
        <v>R1</v>
      </c>
      <c r="B277" s="12">
        <f ca="1">OFFSET(Metabólica!$D35,0,B$281)+OFFSET(Metabólica!$D36,0,B$281)</f>
        <v>129</v>
      </c>
      <c r="C277" s="12" t="str">
        <f ca="1">IF(OR($C$255="",$D$281),"",OFFSET(Metabólica!$D38,0,C$281))</f>
        <v/>
      </c>
      <c r="D277" s="12"/>
      <c r="E277" s="12"/>
      <c r="F277" s="12"/>
      <c r="G277" s="12"/>
      <c r="H277" s="12"/>
      <c r="I277" s="12"/>
      <c r="J277" s="12"/>
      <c r="K277" s="12"/>
      <c r="L277" s="12"/>
      <c r="M277" s="12"/>
      <c r="N277" s="12"/>
      <c r="O277" s="12"/>
      <c r="P277" s="12"/>
    </row>
    <row r="278" spans="1:16">
      <c r="A278" s="12" t="str">
        <f>Metabólica!A37</f>
        <v>R2</v>
      </c>
      <c r="B278" s="12">
        <f ca="1">OFFSET(Metabólica!$D37,0,B$281)</f>
        <v>97</v>
      </c>
      <c r="C278" s="12" t="str">
        <f ca="1">IF(OR($C$255="",$D$281),"",OFFSET(Metabólica!$D39,0,C$281))</f>
        <v/>
      </c>
      <c r="D278" s="12"/>
      <c r="E278" s="12"/>
      <c r="F278" s="12"/>
      <c r="G278" s="12"/>
      <c r="H278" s="12"/>
      <c r="I278" s="12"/>
      <c r="J278" s="12"/>
      <c r="K278" s="12"/>
      <c r="L278" s="12"/>
      <c r="M278" s="12"/>
      <c r="N278" s="12"/>
      <c r="O278" s="12"/>
      <c r="P278" s="12"/>
    </row>
    <row r="280" spans="1:16">
      <c r="B280" s="149"/>
      <c r="C280" s="149"/>
      <c r="D280" s="149"/>
      <c r="E280" s="149"/>
      <c r="F280" s="149"/>
      <c r="G280" s="149"/>
      <c r="H280" s="149"/>
      <c r="I280" s="149"/>
      <c r="J280" s="149"/>
      <c r="K280" s="149"/>
      <c r="L280" s="149"/>
      <c r="M280" s="149"/>
      <c r="N280" s="149"/>
      <c r="O280" s="149"/>
      <c r="P280" s="149"/>
    </row>
    <row r="281" spans="1:16">
      <c r="A281" s="34" t="s">
        <v>983</v>
      </c>
      <c r="B281" s="149">
        <f>MATCH(B254,Metabólica!$E$1:$AH$1,0)</f>
        <v>1</v>
      </c>
      <c r="C281" s="149" t="e">
        <f ca="1">IF($C$255="","",MATCH(C255,Metabólica!$E$1:$AH$1,0))</f>
        <v>#N/A</v>
      </c>
      <c r="D281" s="149" t="b">
        <f ca="1">ISNA(C281)</f>
        <v>1</v>
      </c>
      <c r="E281" s="149"/>
      <c r="F281" s="149"/>
      <c r="G281" s="149"/>
      <c r="H281" s="149"/>
      <c r="I281" s="149"/>
      <c r="J281" s="149"/>
      <c r="K281" s="149"/>
      <c r="L281" s="149"/>
      <c r="M281" s="149"/>
      <c r="N281" s="149"/>
      <c r="O281" s="149"/>
      <c r="P281" s="149"/>
    </row>
    <row r="282" spans="1:16">
      <c r="B282" s="149"/>
      <c r="C282" s="149"/>
      <c r="D282" s="149"/>
      <c r="E282" s="149"/>
      <c r="F282" s="149"/>
      <c r="G282" s="149"/>
      <c r="H282" s="149"/>
      <c r="I282" s="149"/>
      <c r="J282" s="149"/>
      <c r="K282" s="149"/>
      <c r="L282" s="149"/>
      <c r="M282" s="149"/>
      <c r="N282" s="149"/>
      <c r="O282" s="149"/>
      <c r="P282" s="149"/>
    </row>
    <row r="283" spans="1:16">
      <c r="B283" s="149"/>
      <c r="C283" s="149"/>
      <c r="D283" s="149"/>
      <c r="E283" s="149"/>
      <c r="F283" s="149"/>
      <c r="G283" s="149"/>
      <c r="H283" s="149"/>
      <c r="I283" s="149"/>
      <c r="J283" s="149"/>
      <c r="K283" s="149"/>
      <c r="L283" s="149"/>
      <c r="M283" s="149"/>
      <c r="N283" s="149"/>
      <c r="O283" s="149"/>
      <c r="P283" s="149"/>
    </row>
    <row r="284" spans="1:16">
      <c r="B284" s="149"/>
      <c r="C284" s="149"/>
      <c r="D284" s="149"/>
      <c r="E284" s="149"/>
      <c r="F284" s="149"/>
      <c r="G284" s="149"/>
      <c r="H284" s="149"/>
      <c r="I284" s="149"/>
      <c r="J284" s="149"/>
      <c r="K284" s="149"/>
      <c r="L284" s="149"/>
      <c r="M284" s="149"/>
      <c r="N284" s="149"/>
      <c r="O284" s="149"/>
      <c r="P284" s="149"/>
    </row>
    <row r="285" spans="1:16">
      <c r="A285" s="34" t="s">
        <v>984</v>
      </c>
      <c r="B285" s="149"/>
      <c r="C285" s="149"/>
      <c r="D285" s="149"/>
      <c r="E285" s="149"/>
      <c r="F285" s="149"/>
      <c r="G285" s="149" t="str">
        <f ca="1">Laudo!$C$657</f>
        <v>Av15</v>
      </c>
      <c r="H285" s="149"/>
      <c r="I285" s="149"/>
      <c r="J285" s="149"/>
      <c r="K285" s="149"/>
      <c r="L285" s="149"/>
      <c r="M285" s="149"/>
      <c r="N285" s="149"/>
      <c r="O285" s="149"/>
      <c r="P285" s="149"/>
    </row>
    <row r="286" spans="1:16">
      <c r="B286" s="149" t="s">
        <v>985</v>
      </c>
      <c r="C286" s="149" t="s">
        <v>986</v>
      </c>
      <c r="D286" s="149" t="s">
        <v>987</v>
      </c>
      <c r="E286" s="149" t="s">
        <v>988</v>
      </c>
      <c r="F286" s="149" t="s">
        <v>989</v>
      </c>
      <c r="G286" s="149" t="s">
        <v>990</v>
      </c>
      <c r="H286" s="149" t="str">
        <f>Laudo!$J$657</f>
        <v>Av1</v>
      </c>
      <c r="I286" s="149"/>
      <c r="J286" s="149">
        <v>0</v>
      </c>
      <c r="K286" s="166" t="s">
        <v>846</v>
      </c>
      <c r="L286" s="163" t="s">
        <v>846</v>
      </c>
      <c r="M286" s="149"/>
      <c r="N286" s="149"/>
      <c r="O286" s="149"/>
      <c r="P286" s="149"/>
    </row>
    <row r="287" spans="1:16">
      <c r="A287" s="34" t="s">
        <v>919</v>
      </c>
      <c r="B287" s="149"/>
      <c r="C287" s="149"/>
      <c r="D287" s="149"/>
      <c r="E287" s="149"/>
      <c r="F287" s="147" t="e">
        <f ca="1">OFFSET($K$286,MATCH(OFFSET($A$56,,G294),$J$286:$J$291,1)+$A$78,)</f>
        <v>#N/A</v>
      </c>
      <c r="G287" s="148" t="e">
        <f ca="1">OFFSET($A$5,,G$294)</f>
        <v>#VALUE!</v>
      </c>
      <c r="H287" s="148">
        <f ca="1">IF($H$286="","",OFFSET($A$5,,$H$294))</f>
        <v>18.869854774676131</v>
      </c>
      <c r="I287" s="149"/>
      <c r="J287" s="162">
        <v>30</v>
      </c>
      <c r="K287" s="164">
        <v>14.8</v>
      </c>
      <c r="L287" s="165" t="s">
        <v>856</v>
      </c>
      <c r="M287" s="149"/>
      <c r="N287" s="149"/>
      <c r="O287" s="149"/>
      <c r="P287" s="149"/>
    </row>
    <row r="288" spans="1:16">
      <c r="A288" s="34" t="s">
        <v>991</v>
      </c>
      <c r="B288" s="149"/>
      <c r="C288" s="149"/>
      <c r="D288" s="149"/>
      <c r="E288" s="149"/>
      <c r="F288" s="147" t="e">
        <f ca="1">OFFSET($A$80,,G$294)</f>
        <v>#N/A</v>
      </c>
      <c r="G288" s="149">
        <f ca="1">OFFSET($A$84,,G$294)</f>
        <v>56</v>
      </c>
      <c r="H288" s="149">
        <f ca="1">IF($H$286="","",OFFSET($A$84,,$H$294))</f>
        <v>55</v>
      </c>
      <c r="I288" s="149"/>
      <c r="J288" s="162">
        <v>40</v>
      </c>
      <c r="K288" s="164">
        <v>18.399999999999999</v>
      </c>
      <c r="L288" s="165" t="s">
        <v>866</v>
      </c>
      <c r="M288" s="149"/>
      <c r="N288" s="149"/>
      <c r="O288" s="149"/>
      <c r="P288" s="149"/>
    </row>
    <row r="289" spans="1:16">
      <c r="A289" s="34" t="s">
        <v>174</v>
      </c>
      <c r="B289" s="149"/>
      <c r="C289" s="149"/>
      <c r="D289" s="149"/>
      <c r="E289" s="149"/>
      <c r="F289" s="147" t="e">
        <f ca="1">OFFSET($A$112,,G$294)</f>
        <v>#N/A</v>
      </c>
      <c r="G289" s="149">
        <f ca="1">OFFSET($A$116,,G$294)</f>
        <v>31</v>
      </c>
      <c r="H289" s="149">
        <f ca="1">IF($H$286="","",OFFSET($A$116,,$H$294))</f>
        <v>27.2</v>
      </c>
      <c r="I289" s="149"/>
      <c r="J289" s="162">
        <v>50</v>
      </c>
      <c r="K289" s="164">
        <v>20.8</v>
      </c>
      <c r="L289" s="165" t="s">
        <v>876</v>
      </c>
      <c r="M289" s="149"/>
      <c r="N289" s="149"/>
      <c r="O289" s="149"/>
      <c r="P289" s="149"/>
    </row>
    <row r="290" spans="1:16">
      <c r="A290" s="34" t="s">
        <v>992</v>
      </c>
      <c r="B290" s="149"/>
      <c r="C290" s="149"/>
      <c r="D290" s="149"/>
      <c r="E290" s="149"/>
      <c r="F290" s="147" t="e">
        <f ca="1">OFFSET($A$223,,G$294)</f>
        <v>#N/A</v>
      </c>
      <c r="G290" s="149">
        <f ca="1">OFFSET($A$227,,G$294)</f>
        <v>60.46</v>
      </c>
      <c r="H290" s="149">
        <f ca="1">IF($H$286="","",OFFSET($A$227,,$H$294))</f>
        <v>42.3</v>
      </c>
      <c r="I290" s="149"/>
      <c r="J290" s="162">
        <v>60</v>
      </c>
      <c r="K290" s="164">
        <v>22.3</v>
      </c>
      <c r="L290" s="165" t="s">
        <v>886</v>
      </c>
      <c r="M290" s="149"/>
      <c r="N290" s="149"/>
      <c r="O290" s="149"/>
      <c r="P290" s="149"/>
    </row>
    <row r="291" spans="1:16">
      <c r="A291" s="34" t="s">
        <v>993</v>
      </c>
      <c r="B291" s="149"/>
      <c r="C291" s="149"/>
      <c r="D291" s="149"/>
      <c r="E291" s="149"/>
      <c r="F291" s="148" t="e">
        <f ca="1">OFFSET($A$190,,G$294)</f>
        <v>#N/A</v>
      </c>
      <c r="G291" s="148">
        <f ca="1">OFFSET($A$194,,G$294)</f>
        <v>0</v>
      </c>
      <c r="H291" s="148">
        <f ca="1">IF($H$286="","",OFFSET($A$194,,$H$294))</f>
        <v>0</v>
      </c>
      <c r="I291" s="149"/>
      <c r="J291" s="162">
        <v>70</v>
      </c>
      <c r="K291" s="164">
        <v>23</v>
      </c>
      <c r="L291" s="165" t="s">
        <v>897</v>
      </c>
      <c r="M291" s="149"/>
      <c r="N291" s="149"/>
      <c r="O291" s="149"/>
      <c r="P291" s="149"/>
    </row>
    <row r="292" spans="1:16">
      <c r="A292" s="34" t="s">
        <v>994</v>
      </c>
      <c r="F292" s="148" t="e">
        <f ca="1">OFFSET($A$158,,G$294)</f>
        <v>#N/A</v>
      </c>
      <c r="G292" s="148">
        <f ca="1">OFFSET($A$162,,G$294)</f>
        <v>0</v>
      </c>
      <c r="H292" s="148">
        <f ca="1">IF($H$286="","",OFFSET($A$162,,$H$294))</f>
        <v>0</v>
      </c>
      <c r="I292" s="149"/>
      <c r="J292" s="162"/>
      <c r="K292" s="164">
        <v>22.9</v>
      </c>
      <c r="L292" s="165" t="s">
        <v>908</v>
      </c>
      <c r="M292" s="149"/>
      <c r="N292" s="149"/>
      <c r="O292" s="149"/>
      <c r="P292" s="149"/>
    </row>
    <row r="293" spans="1:16">
      <c r="I293" s="149"/>
      <c r="J293" s="162" t="s">
        <v>472</v>
      </c>
      <c r="K293" s="165">
        <v>19.8</v>
      </c>
      <c r="L293" s="149"/>
      <c r="M293" s="149"/>
      <c r="N293" s="149"/>
      <c r="O293" s="149"/>
      <c r="P293" s="149"/>
    </row>
    <row r="294" spans="1:16">
      <c r="A294" s="34" t="s">
        <v>983</v>
      </c>
      <c r="C294" s="149"/>
      <c r="D294" s="149"/>
      <c r="E294" s="149"/>
      <c r="F294" s="149"/>
      <c r="G294" s="149">
        <f ca="1">MATCH(G285,$B$1:$P$1,0)</f>
        <v>15</v>
      </c>
      <c r="H294" s="149">
        <f>IF(H286="","",MATCH(H286,$B$1:$P$1,0))</f>
        <v>1</v>
      </c>
      <c r="I294" s="149"/>
      <c r="J294" s="162" t="s">
        <v>481</v>
      </c>
      <c r="K294" s="165">
        <v>21</v>
      </c>
      <c r="L294" s="149"/>
      <c r="M294" s="149"/>
      <c r="N294" s="149"/>
      <c r="O294" s="149"/>
      <c r="P294" s="149"/>
    </row>
    <row r="295" spans="1:16">
      <c r="B295" s="149"/>
      <c r="C295" s="149"/>
      <c r="D295" s="149"/>
      <c r="E295" s="149"/>
      <c r="F295" s="149"/>
      <c r="G295" s="149"/>
      <c r="H295" s="149"/>
      <c r="I295" s="149"/>
      <c r="J295" s="162" t="s">
        <v>490</v>
      </c>
      <c r="K295" s="165">
        <v>23.7</v>
      </c>
      <c r="L295" s="149"/>
      <c r="M295" s="149"/>
      <c r="N295" s="149"/>
      <c r="O295" s="149"/>
      <c r="P295" s="149"/>
    </row>
    <row r="296" spans="1:16">
      <c r="B296" s="149"/>
      <c r="C296" s="149"/>
      <c r="D296" s="149"/>
      <c r="E296" s="149"/>
      <c r="F296" s="149"/>
      <c r="G296" s="149"/>
      <c r="H296" s="149"/>
      <c r="I296" s="149"/>
      <c r="J296" s="162" t="s">
        <v>499</v>
      </c>
      <c r="K296" s="165">
        <v>26.7</v>
      </c>
      <c r="L296" s="149"/>
      <c r="M296" s="149"/>
      <c r="N296" s="149"/>
      <c r="O296" s="149"/>
      <c r="P296" s="149"/>
    </row>
    <row r="297" spans="1:16">
      <c r="B297" s="149"/>
      <c r="C297" s="149"/>
      <c r="D297" s="149"/>
      <c r="E297" s="149"/>
      <c r="F297" s="149"/>
      <c r="G297" s="149"/>
      <c r="H297" s="149"/>
      <c r="I297" s="149"/>
      <c r="J297" s="162" t="s">
        <v>890</v>
      </c>
      <c r="K297" s="165">
        <v>27.5</v>
      </c>
      <c r="L297" s="149"/>
      <c r="M297" s="149"/>
      <c r="N297" s="149"/>
      <c r="O297" s="149"/>
      <c r="P297" s="149"/>
    </row>
    <row r="298" spans="1:16">
      <c r="A298" s="34" t="s">
        <v>919</v>
      </c>
      <c r="B298" s="148">
        <v>0.2</v>
      </c>
      <c r="C298" s="148">
        <v>0.4</v>
      </c>
      <c r="D298" s="148">
        <v>0.6</v>
      </c>
      <c r="E298" s="148">
        <v>0.8</v>
      </c>
      <c r="F298" s="148">
        <v>1</v>
      </c>
      <c r="G298" s="148" t="e">
        <f t="shared" ref="G298:G302" ca="1" si="80">IF(L298&gt;1,1+((L298-1)/10),L298)</f>
        <v>#VALUE!</v>
      </c>
      <c r="H298" s="148" t="e">
        <f t="shared" ref="H298:H302" ca="1" si="81">IF($H$286="","",IF(M298&gt;1,1+((M298-1)/10),M298))</f>
        <v>#N/A</v>
      </c>
      <c r="I298" s="149"/>
      <c r="J298" s="162" t="s">
        <v>901</v>
      </c>
      <c r="K298" s="165">
        <v>26.6</v>
      </c>
      <c r="L298" s="147" t="e">
        <f ca="1">1-((G287-$F287)/$F287)</f>
        <v>#VALUE!</v>
      </c>
      <c r="M298" s="149" t="e">
        <f ca="1">IF($H$286="","",1-((H287-$F287)/$F287))</f>
        <v>#N/A</v>
      </c>
      <c r="N298" s="149"/>
      <c r="O298" s="149"/>
      <c r="P298" s="149"/>
    </row>
    <row r="299" spans="1:16">
      <c r="A299" s="34" t="s">
        <v>991</v>
      </c>
      <c r="B299" s="148">
        <v>0.2</v>
      </c>
      <c r="C299" s="148">
        <v>0.4</v>
      </c>
      <c r="D299" s="148">
        <v>0.6</v>
      </c>
      <c r="E299" s="148">
        <v>0.8</v>
      </c>
      <c r="F299" s="148">
        <v>1</v>
      </c>
      <c r="G299" s="148" t="e">
        <f t="shared" ca="1" si="80"/>
        <v>#N/A</v>
      </c>
      <c r="H299" s="148" t="e">
        <f t="shared" ca="1" si="81"/>
        <v>#N/A</v>
      </c>
      <c r="I299" s="149"/>
      <c r="J299" s="149"/>
      <c r="K299" s="149"/>
      <c r="L299" s="149" t="e">
        <f t="shared" ref="L299:L301" ca="1" si="82">G288/$F288</f>
        <v>#N/A</v>
      </c>
      <c r="M299" s="149" t="e">
        <f t="shared" ref="M299:M301" ca="1" si="83">IF($H$286="","",H288/$F288)</f>
        <v>#N/A</v>
      </c>
      <c r="N299" s="149"/>
      <c r="O299" s="149"/>
      <c r="P299" s="149"/>
    </row>
    <row r="300" spans="1:16">
      <c r="A300" s="34" t="s">
        <v>174</v>
      </c>
      <c r="B300" s="148">
        <v>0.2</v>
      </c>
      <c r="C300" s="148">
        <v>0.4</v>
      </c>
      <c r="D300" s="148">
        <v>0.6</v>
      </c>
      <c r="E300" s="148">
        <v>0.8</v>
      </c>
      <c r="F300" s="148">
        <v>1</v>
      </c>
      <c r="G300" s="148" t="e">
        <f t="shared" ca="1" si="80"/>
        <v>#N/A</v>
      </c>
      <c r="H300" s="148" t="e">
        <f t="shared" ca="1" si="81"/>
        <v>#N/A</v>
      </c>
      <c r="I300" s="149"/>
      <c r="J300" s="149"/>
      <c r="K300" s="149"/>
      <c r="L300" s="149" t="e">
        <f t="shared" ca="1" si="82"/>
        <v>#N/A</v>
      </c>
      <c r="M300" s="149" t="e">
        <f t="shared" ca="1" si="83"/>
        <v>#N/A</v>
      </c>
      <c r="N300" s="149"/>
      <c r="O300" s="149"/>
      <c r="P300" s="149"/>
    </row>
    <row r="301" spans="1:16">
      <c r="A301" s="34" t="s">
        <v>992</v>
      </c>
      <c r="B301" s="148">
        <v>0.2</v>
      </c>
      <c r="C301" s="148">
        <v>0.4</v>
      </c>
      <c r="D301" s="148">
        <v>0.6</v>
      </c>
      <c r="E301" s="148">
        <v>0.8</v>
      </c>
      <c r="F301" s="148">
        <v>1</v>
      </c>
      <c r="G301" s="148" t="e">
        <f t="shared" ca="1" si="80"/>
        <v>#N/A</v>
      </c>
      <c r="H301" s="148" t="e">
        <f t="shared" ca="1" si="81"/>
        <v>#N/A</v>
      </c>
      <c r="I301" s="149"/>
      <c r="J301" s="149"/>
      <c r="K301" s="149"/>
      <c r="L301" s="149" t="e">
        <f t="shared" ca="1" si="82"/>
        <v>#N/A</v>
      </c>
      <c r="M301" s="149" t="e">
        <f t="shared" ca="1" si="83"/>
        <v>#N/A</v>
      </c>
      <c r="N301" s="149"/>
      <c r="O301" s="149"/>
      <c r="P301" s="149"/>
    </row>
    <row r="302" spans="1:16">
      <c r="A302" s="34" t="s">
        <v>178</v>
      </c>
      <c r="B302" s="148">
        <v>0.2</v>
      </c>
      <c r="C302" s="148">
        <v>0.4</v>
      </c>
      <c r="D302" s="148">
        <v>0.6</v>
      </c>
      <c r="E302" s="148">
        <v>0.8</v>
      </c>
      <c r="F302" s="148">
        <v>1</v>
      </c>
      <c r="G302" s="148" t="e">
        <f t="shared" ca="1" si="80"/>
        <v>#N/A</v>
      </c>
      <c r="H302" s="148" t="e">
        <f t="shared" ca="1" si="81"/>
        <v>#N/A</v>
      </c>
      <c r="I302" s="149"/>
      <c r="J302" s="149"/>
      <c r="K302" s="149"/>
      <c r="L302" s="149" t="e">
        <f ca="1">((G291/$F291)+(G292/$F292))/2</f>
        <v>#N/A</v>
      </c>
      <c r="M302" s="149" t="e">
        <f ca="1">IF($H$286="","",((H291/$F291)+(H292/$F292))/2)</f>
        <v>#N/A</v>
      </c>
      <c r="N302" s="149"/>
      <c r="O302" s="149"/>
      <c r="P302" s="149"/>
    </row>
    <row r="303" spans="1:16">
      <c r="B303" s="107"/>
      <c r="C303" s="107"/>
      <c r="D303" s="107"/>
      <c r="E303" s="107"/>
      <c r="F303" s="148"/>
      <c r="G303" s="148"/>
      <c r="H303" s="149"/>
      <c r="I303" s="149"/>
      <c r="J303" s="149"/>
      <c r="K303" s="149"/>
      <c r="L303" s="149"/>
      <c r="M303" s="149"/>
      <c r="N303" s="149"/>
      <c r="O303" s="149"/>
      <c r="P303" s="149"/>
    </row>
    <row r="304" spans="1:16">
      <c r="A304" s="34" t="s">
        <v>0</v>
      </c>
      <c r="B304" s="253" t="s">
        <v>995</v>
      </c>
      <c r="C304" s="253" t="s">
        <v>996</v>
      </c>
      <c r="D304" s="253" t="s">
        <v>997</v>
      </c>
      <c r="E304" s="253" t="s">
        <v>998</v>
      </c>
      <c r="F304" s="265" t="str">
        <f>F$1</f>
        <v>Av5</v>
      </c>
      <c r="G304" s="256"/>
      <c r="H304" s="256"/>
      <c r="I304" s="256"/>
      <c r="J304" s="256"/>
      <c r="K304" s="256"/>
      <c r="L304" s="256"/>
      <c r="M304" s="256"/>
      <c r="N304" s="256"/>
      <c r="O304" s="256"/>
      <c r="P304" s="256"/>
    </row>
    <row r="305" spans="1:16">
      <c r="A305" s="266" t="str">
        <f>G305&amp;"."</f>
        <v>.</v>
      </c>
      <c r="B305" s="148"/>
      <c r="C305" s="148"/>
      <c r="D305" s="149">
        <v>1</v>
      </c>
      <c r="E305" s="149"/>
      <c r="F305" s="149">
        <f>'BD tratado'!I150</f>
        <v>0</v>
      </c>
      <c r="G305" s="266"/>
      <c r="H305" s="149">
        <f>'BD tratado'!K150</f>
        <v>0</v>
      </c>
      <c r="I305" s="149">
        <f>'BD tratado'!L150</f>
        <v>0</v>
      </c>
      <c r="J305" s="149">
        <f>'BD tratado'!M150</f>
        <v>0</v>
      </c>
      <c r="K305" s="149">
        <f>'BD tratado'!N150</f>
        <v>0</v>
      </c>
      <c r="L305" s="149">
        <f>'BD tratado'!O150</f>
        <v>0</v>
      </c>
      <c r="M305" s="149">
        <f>'BD tratado'!P150</f>
        <v>0</v>
      </c>
      <c r="N305" s="149">
        <f>'BD tratado'!Q150</f>
        <v>0</v>
      </c>
      <c r="O305" s="149">
        <f>'BD tratado'!R150</f>
        <v>0</v>
      </c>
      <c r="P305" s="149">
        <f>'BD tratado'!S150</f>
        <v>0</v>
      </c>
    </row>
    <row r="306" spans="1:16">
      <c r="A306" s="266"/>
      <c r="B306" s="148"/>
      <c r="C306" s="148"/>
      <c r="D306" s="149">
        <v>2</v>
      </c>
      <c r="E306" s="149"/>
      <c r="F306" s="149"/>
      <c r="G306" s="266"/>
      <c r="H306" s="149"/>
      <c r="I306" s="149"/>
      <c r="J306" s="149"/>
      <c r="K306" s="149"/>
      <c r="L306" s="149"/>
      <c r="M306" s="149"/>
      <c r="N306" s="149"/>
      <c r="O306" s="149"/>
      <c r="P306" s="149"/>
    </row>
    <row r="307" spans="1:16">
      <c r="A307" s="266"/>
      <c r="B307" s="148"/>
      <c r="C307" s="148"/>
      <c r="D307" s="149">
        <v>3</v>
      </c>
      <c r="E307" s="149"/>
      <c r="F307" s="149"/>
      <c r="G307" s="266"/>
      <c r="H307" s="149"/>
      <c r="I307" s="149"/>
      <c r="J307" s="149"/>
      <c r="K307" s="149"/>
      <c r="L307" s="149"/>
      <c r="M307" s="149"/>
      <c r="N307" s="149"/>
      <c r="O307" s="149"/>
      <c r="P307" s="149"/>
    </row>
    <row r="308" spans="1:16">
      <c r="A308" s="266"/>
      <c r="B308" s="148"/>
      <c r="C308" s="148"/>
      <c r="D308" s="149">
        <v>4</v>
      </c>
      <c r="E308" s="149"/>
      <c r="F308" s="149"/>
      <c r="G308" s="266"/>
      <c r="H308" s="149"/>
      <c r="I308" s="149"/>
      <c r="J308" s="149"/>
      <c r="K308" s="149"/>
      <c r="L308" s="149"/>
      <c r="M308" s="149"/>
      <c r="N308" s="149"/>
      <c r="O308" s="149"/>
      <c r="P308" s="149"/>
    </row>
    <row r="309" spans="1:16">
      <c r="A309" s="266"/>
      <c r="B309" s="148"/>
      <c r="C309" s="148"/>
      <c r="D309" s="149">
        <v>5</v>
      </c>
      <c r="E309" s="149"/>
      <c r="F309" s="149"/>
      <c r="G309" s="266"/>
      <c r="H309" s="149"/>
      <c r="I309" s="149"/>
      <c r="J309" s="149"/>
      <c r="K309" s="149"/>
      <c r="L309" s="149"/>
      <c r="M309" s="149"/>
      <c r="N309" s="149"/>
      <c r="O309" s="149"/>
      <c r="P309" s="149"/>
    </row>
    <row r="310" spans="1:16">
      <c r="A310" s="266"/>
      <c r="B310" s="148"/>
      <c r="C310" s="148"/>
      <c r="D310" s="149">
        <v>9</v>
      </c>
      <c r="E310" s="149"/>
      <c r="F310" s="149"/>
      <c r="G310" s="266"/>
      <c r="H310" s="149"/>
      <c r="I310" s="149"/>
      <c r="J310" s="149"/>
      <c r="K310" s="149"/>
      <c r="L310" s="149"/>
      <c r="M310" s="149"/>
      <c r="N310" s="149"/>
      <c r="O310" s="149"/>
      <c r="P310" s="149"/>
    </row>
    <row r="311" spans="1:16">
      <c r="A311" s="266" t="str">
        <f t="shared" ref="A311:A314" ca="1" si="84">ROUND(G311,0)&amp;"."</f>
        <v>0.</v>
      </c>
      <c r="B311" s="148">
        <v>1.85</v>
      </c>
      <c r="C311" s="148">
        <v>12</v>
      </c>
      <c r="D311" s="149">
        <f t="shared" ref="D311:D320" ca="1" si="85">ROUND(G311/20,0)</f>
        <v>0</v>
      </c>
      <c r="E311" s="149">
        <v>3</v>
      </c>
      <c r="F311" s="149">
        <f>'BD tratado'!I155</f>
        <v>0</v>
      </c>
      <c r="G311" s="266">
        <f ca="1">OFFSET('BD tratado'!$D$150,,MATCH(Laudo!$D$865,BD!$B$1:$P$1,0))</f>
        <v>0</v>
      </c>
      <c r="H311" s="149"/>
      <c r="I311" s="149"/>
      <c r="J311" s="149"/>
      <c r="K311" s="149"/>
      <c r="L311" s="149"/>
      <c r="M311" s="149"/>
      <c r="N311" s="149"/>
      <c r="O311" s="149"/>
      <c r="P311" s="149"/>
    </row>
    <row r="312" spans="1:16">
      <c r="A312" s="266" t="str">
        <f t="shared" ca="1" si="84"/>
        <v>0.</v>
      </c>
      <c r="B312" s="148">
        <v>2.2000000000000002</v>
      </c>
      <c r="C312" s="148">
        <v>8.5</v>
      </c>
      <c r="D312" s="149">
        <f t="shared" ca="1" si="85"/>
        <v>0</v>
      </c>
      <c r="E312" s="149">
        <v>3</v>
      </c>
      <c r="F312" s="149">
        <f>'BD tratado'!I151</f>
        <v>0</v>
      </c>
      <c r="G312" s="266">
        <f ca="1">OFFSET('BD tratado'!$D$151,,MATCH(Laudo!$D$865,BD!$B$1:$P$1,0))</f>
        <v>0</v>
      </c>
      <c r="H312" s="149"/>
      <c r="I312" s="149"/>
      <c r="J312" s="149">
        <f>'BD tratado'!M151</f>
        <v>0</v>
      </c>
      <c r="K312" s="149">
        <f>'BD tratado'!N151</f>
        <v>0</v>
      </c>
      <c r="L312" s="149">
        <f>'BD tratado'!O151</f>
        <v>0</v>
      </c>
      <c r="M312" s="149">
        <f>'BD tratado'!P151</f>
        <v>0</v>
      </c>
      <c r="N312" s="149">
        <f>'BD tratado'!Q151</f>
        <v>0</v>
      </c>
      <c r="O312" s="149">
        <f>'BD tratado'!R151</f>
        <v>0</v>
      </c>
      <c r="P312" s="149">
        <f>'BD tratado'!S151</f>
        <v>0</v>
      </c>
    </row>
    <row r="313" spans="1:16">
      <c r="A313" s="266" t="str">
        <f t="shared" ca="1" si="84"/>
        <v>0.</v>
      </c>
      <c r="B313" s="148">
        <v>1.8</v>
      </c>
      <c r="C313" s="148">
        <v>7.7</v>
      </c>
      <c r="D313" s="149">
        <f t="shared" ca="1" si="85"/>
        <v>0</v>
      </c>
      <c r="E313" s="149">
        <v>3</v>
      </c>
      <c r="F313" s="149">
        <f>'BD tratado'!I152</f>
        <v>0</v>
      </c>
      <c r="G313" s="266">
        <f ca="1">OFFSET('BD tratado'!$D$152,,MATCH(Laudo!$D$865,BD!$B$1:$P$1,0))</f>
        <v>0</v>
      </c>
      <c r="H313" s="149">
        <f>'BD tratado'!K152</f>
        <v>0</v>
      </c>
      <c r="I313" s="149">
        <f>'BD tratado'!L152</f>
        <v>0</v>
      </c>
      <c r="J313" s="149">
        <f>'BD tratado'!M152</f>
        <v>0</v>
      </c>
      <c r="K313" s="149">
        <f>'BD tratado'!N152</f>
        <v>0</v>
      </c>
      <c r="L313" s="149">
        <f>'BD tratado'!O152</f>
        <v>0</v>
      </c>
      <c r="M313" s="149">
        <f>'BD tratado'!P152</f>
        <v>0</v>
      </c>
      <c r="N313" s="149">
        <f>'BD tratado'!Q152</f>
        <v>0</v>
      </c>
      <c r="O313" s="149">
        <f>'BD tratado'!R152</f>
        <v>0</v>
      </c>
      <c r="P313" s="149">
        <f>'BD tratado'!S152</f>
        <v>0</v>
      </c>
    </row>
    <row r="314" spans="1:16">
      <c r="A314" s="266" t="str">
        <f t="shared" ca="1" si="84"/>
        <v>0.</v>
      </c>
      <c r="B314" s="148">
        <v>2.1</v>
      </c>
      <c r="C314" s="148">
        <v>4.5</v>
      </c>
      <c r="D314" s="149">
        <f t="shared" ca="1" si="85"/>
        <v>0</v>
      </c>
      <c r="E314" s="149">
        <v>3</v>
      </c>
      <c r="F314" s="149">
        <f>'BD tratado'!I153</f>
        <v>0</v>
      </c>
      <c r="G314" s="266">
        <f ca="1">OFFSET('BD tratado'!$D$153,,MATCH(Laudo!$D$865,BD!$B$1:$P$1,0))</f>
        <v>0</v>
      </c>
      <c r="H314" s="149">
        <f>'BD tratado'!K153</f>
        <v>0</v>
      </c>
      <c r="I314" s="149">
        <f>'BD tratado'!L153</f>
        <v>0</v>
      </c>
      <c r="J314" s="149">
        <f>'BD tratado'!M153</f>
        <v>0</v>
      </c>
      <c r="K314" s="149">
        <f>'BD tratado'!N153</f>
        <v>0</v>
      </c>
      <c r="L314" s="149">
        <f>'BD tratado'!O153</f>
        <v>0</v>
      </c>
      <c r="M314" s="149">
        <f>'BD tratado'!P153</f>
        <v>0</v>
      </c>
      <c r="N314" s="149">
        <f>'BD tratado'!Q153</f>
        <v>0</v>
      </c>
      <c r="O314" s="149">
        <f>'BD tratado'!R153</f>
        <v>0</v>
      </c>
      <c r="P314" s="149">
        <f>'BD tratado'!S153</f>
        <v>0</v>
      </c>
    </row>
    <row r="315" spans="1:16">
      <c r="A315" s="266"/>
      <c r="B315" s="148">
        <v>0</v>
      </c>
      <c r="C315" s="148">
        <v>15</v>
      </c>
      <c r="D315" s="149">
        <f t="shared" si="85"/>
        <v>0</v>
      </c>
      <c r="E315" s="149">
        <v>2</v>
      </c>
      <c r="F315" s="149">
        <f>'BD tratado'!I154</f>
        <v>0</v>
      </c>
      <c r="G315" s="266"/>
      <c r="H315" s="149">
        <f>'BD tratado'!K154</f>
        <v>0</v>
      </c>
      <c r="I315" s="149">
        <f>'BD tratado'!L154</f>
        <v>0</v>
      </c>
      <c r="J315" s="149">
        <f>'BD tratado'!M154</f>
        <v>0</v>
      </c>
      <c r="K315" s="149">
        <f>'BD tratado'!N154</f>
        <v>0</v>
      </c>
      <c r="L315" s="149">
        <f>'BD tratado'!O154</f>
        <v>0</v>
      </c>
      <c r="M315" s="149">
        <f>'BD tratado'!P154</f>
        <v>0</v>
      </c>
      <c r="N315" s="149">
        <f>'BD tratado'!Q154</f>
        <v>0</v>
      </c>
      <c r="O315" s="149">
        <f>'BD tratado'!R154</f>
        <v>0</v>
      </c>
      <c r="P315" s="149">
        <f>'BD tratado'!S154</f>
        <v>0</v>
      </c>
    </row>
    <row r="316" spans="1:16">
      <c r="A316" s="266"/>
      <c r="B316" s="148">
        <v>5</v>
      </c>
      <c r="C316" s="148">
        <v>15</v>
      </c>
      <c r="D316" s="149">
        <f t="shared" si="85"/>
        <v>0</v>
      </c>
      <c r="E316" s="149">
        <v>5</v>
      </c>
      <c r="F316" s="149"/>
      <c r="G316" s="266"/>
      <c r="H316" s="149"/>
      <c r="I316" s="149"/>
      <c r="J316" s="149"/>
      <c r="K316" s="149"/>
      <c r="L316" s="149"/>
      <c r="M316" s="149"/>
      <c r="N316" s="149"/>
      <c r="O316" s="149"/>
      <c r="P316" s="149"/>
    </row>
    <row r="317" spans="1:16">
      <c r="A317" s="266" t="str">
        <f t="shared" ref="A317:A320" ca="1" si="86">ROUND(G317,0)&amp;"."</f>
        <v>0.</v>
      </c>
      <c r="B317" s="148">
        <f t="shared" ref="B317:B320" si="87">B311+2.55</f>
        <v>4.4000000000000004</v>
      </c>
      <c r="C317" s="148">
        <f t="shared" ref="C317:C320" si="88">C311</f>
        <v>12</v>
      </c>
      <c r="D317" s="149">
        <f t="shared" ca="1" si="85"/>
        <v>0</v>
      </c>
      <c r="E317" s="149">
        <v>3</v>
      </c>
      <c r="G317" s="266">
        <f ca="1">OFFSET('BD tratado'!$D$150,,MATCH(Laudo!$K$865,BD!$B$1:$P$1,0))</f>
        <v>0</v>
      </c>
    </row>
    <row r="318" spans="1:16">
      <c r="A318" s="266" t="str">
        <f t="shared" ca="1" si="86"/>
        <v>0.</v>
      </c>
      <c r="B318" s="148">
        <f t="shared" si="87"/>
        <v>4.75</v>
      </c>
      <c r="C318" s="148">
        <f t="shared" si="88"/>
        <v>8.5</v>
      </c>
      <c r="D318" s="149">
        <f t="shared" ca="1" si="85"/>
        <v>0</v>
      </c>
      <c r="E318" s="149">
        <v>3</v>
      </c>
      <c r="F318" s="149"/>
      <c r="G318" s="266">
        <f ca="1">OFFSET('BD tratado'!$D$151,,MATCH(Laudo!$K$865,BD!$B$1:$P$1,0))</f>
        <v>0</v>
      </c>
      <c r="H318" s="149"/>
      <c r="I318" s="149"/>
      <c r="J318" s="149"/>
      <c r="K318" s="149"/>
      <c r="L318" s="149"/>
      <c r="M318" s="149"/>
      <c r="N318" s="149"/>
      <c r="O318" s="149"/>
      <c r="P318" s="149"/>
    </row>
    <row r="319" spans="1:16">
      <c r="A319" s="266" t="str">
        <f t="shared" ca="1" si="86"/>
        <v>0.</v>
      </c>
      <c r="B319" s="148">
        <f t="shared" si="87"/>
        <v>4.3499999999999996</v>
      </c>
      <c r="C319" s="148">
        <f t="shared" si="88"/>
        <v>7.7</v>
      </c>
      <c r="D319" s="149">
        <f t="shared" ca="1" si="85"/>
        <v>0</v>
      </c>
      <c r="E319" s="149">
        <v>3</v>
      </c>
      <c r="F319" s="149"/>
      <c r="G319" s="266">
        <f ca="1">OFFSET('BD tratado'!$D$152,,MATCH(Laudo!$K$865,BD!$B$1:$P$1,0))</f>
        <v>0</v>
      </c>
      <c r="H319" s="149"/>
      <c r="I319" s="149"/>
      <c r="J319" s="149"/>
      <c r="K319" s="149"/>
      <c r="L319" s="149"/>
      <c r="M319" s="149"/>
      <c r="N319" s="149"/>
      <c r="O319" s="149"/>
      <c r="P319" s="149"/>
    </row>
    <row r="320" spans="1:16">
      <c r="A320" s="266" t="str">
        <f t="shared" ca="1" si="86"/>
        <v>0.</v>
      </c>
      <c r="B320" s="148">
        <f t="shared" si="87"/>
        <v>4.6500000000000004</v>
      </c>
      <c r="C320" s="148">
        <f t="shared" si="88"/>
        <v>4.5</v>
      </c>
      <c r="D320" s="149">
        <f t="shared" ca="1" si="85"/>
        <v>0</v>
      </c>
      <c r="E320" s="149">
        <v>3</v>
      </c>
      <c r="F320" s="149"/>
      <c r="G320" s="266">
        <f ca="1">OFFSET('BD tratado'!$D$153,,MATCH(Laudo!$K$865,BD!$B$1:$P$1,0))</f>
        <v>0</v>
      </c>
      <c r="H320" s="149"/>
      <c r="I320" s="149"/>
      <c r="J320" s="149"/>
      <c r="K320" s="149"/>
      <c r="L320" s="149"/>
      <c r="M320" s="149"/>
      <c r="N320" s="149"/>
      <c r="O320" s="149"/>
      <c r="P320" s="149"/>
    </row>
    <row r="321" spans="1:16">
      <c r="B321" s="12"/>
      <c r="C321" s="12"/>
      <c r="D321" s="149"/>
      <c r="E321" s="149"/>
      <c r="F321" s="149"/>
      <c r="G321" s="149"/>
      <c r="H321" s="149"/>
      <c r="I321" s="149"/>
      <c r="J321" s="149"/>
      <c r="K321" s="149"/>
      <c r="L321" s="149"/>
      <c r="M321" s="149"/>
      <c r="N321" s="149"/>
      <c r="O321" s="149"/>
      <c r="P321" s="149"/>
    </row>
    <row r="322" spans="1:16">
      <c r="A322" s="34" t="str">
        <f>'Meta calórica'!I85</f>
        <v>Proteínas</v>
      </c>
      <c r="B322" s="147">
        <f ca="1">'Meta calórica'!P85</f>
        <v>20.99737532808399</v>
      </c>
      <c r="C322" s="12"/>
      <c r="D322" s="149"/>
      <c r="E322" s="149"/>
      <c r="F322" s="149"/>
      <c r="G322" s="149"/>
      <c r="H322" s="149"/>
      <c r="I322" s="149"/>
      <c r="J322" s="149"/>
      <c r="K322" s="149"/>
      <c r="L322" s="149"/>
      <c r="M322" s="149"/>
      <c r="N322" s="149"/>
      <c r="O322" s="149"/>
      <c r="P322" s="149"/>
    </row>
    <row r="323" spans="1:16">
      <c r="A323" s="34" t="str">
        <f>'Meta calórica'!I86</f>
        <v>Carboidratos</v>
      </c>
      <c r="B323" s="147">
        <f ca="1">'Meta calórica'!P86</f>
        <v>57.742782152230966</v>
      </c>
      <c r="C323" s="12"/>
      <c r="D323" s="149"/>
      <c r="E323" s="149"/>
      <c r="F323" s="149"/>
      <c r="G323" s="149"/>
      <c r="H323" s="149"/>
      <c r="I323" s="149"/>
      <c r="J323" s="149"/>
      <c r="K323" s="149"/>
      <c r="L323" s="149"/>
      <c r="M323" s="149"/>
      <c r="N323" s="149"/>
      <c r="O323" s="149"/>
      <c r="P323" s="149"/>
    </row>
    <row r="324" spans="1:16">
      <c r="A324" s="34" t="str">
        <f>'Meta calórica'!I87</f>
        <v>Lipídios</v>
      </c>
      <c r="B324" s="147">
        <f ca="1">'Meta calórica'!P87</f>
        <v>21.259842519685041</v>
      </c>
      <c r="C324" s="12"/>
      <c r="D324" s="149"/>
      <c r="E324" s="149"/>
      <c r="F324" s="149"/>
      <c r="G324" s="149"/>
      <c r="H324" s="149"/>
      <c r="I324" s="149"/>
      <c r="J324" s="149"/>
      <c r="K324" s="149"/>
      <c r="L324" s="149"/>
      <c r="M324" s="149"/>
      <c r="N324" s="149"/>
      <c r="O324" s="149"/>
      <c r="P324" s="149"/>
    </row>
    <row r="325" spans="1:16">
      <c r="B325" s="149"/>
      <c r="C325" s="149"/>
      <c r="D325" s="149"/>
      <c r="E325" s="149"/>
      <c r="F325" s="149"/>
      <c r="G325" s="149"/>
      <c r="H325" s="149"/>
      <c r="I325" s="149"/>
      <c r="J325" s="149"/>
      <c r="K325" s="149"/>
      <c r="L325" s="149"/>
      <c r="M325" s="149"/>
      <c r="N325" s="149"/>
      <c r="O325" s="149"/>
      <c r="P325" s="149"/>
    </row>
    <row r="326" spans="1:16">
      <c r="D326" s="149"/>
      <c r="E326" s="149"/>
      <c r="F326" s="149"/>
      <c r="G326" s="149"/>
      <c r="H326" s="149"/>
      <c r="I326" s="149"/>
      <c r="J326" s="149"/>
      <c r="K326" s="149"/>
      <c r="L326" s="149"/>
      <c r="M326" s="149"/>
      <c r="N326" s="149"/>
      <c r="O326" s="149"/>
      <c r="P326" s="149"/>
    </row>
    <row r="327" spans="1:16">
      <c r="A327" s="34" t="s">
        <v>999</v>
      </c>
      <c r="C327" s="149" t="e">
        <f ca="1">'Meta calórica'!M66</f>
        <v>#VALUE!</v>
      </c>
      <c r="D327" s="149"/>
      <c r="E327" s="149"/>
      <c r="F327" s="149"/>
      <c r="G327" s="149"/>
      <c r="H327" s="149"/>
      <c r="I327" s="149"/>
      <c r="J327" s="149"/>
      <c r="K327" s="149"/>
      <c r="L327" s="149"/>
      <c r="M327" s="149"/>
      <c r="N327" s="149"/>
      <c r="O327" s="149"/>
      <c r="P327" s="149"/>
    </row>
    <row r="328" spans="1:16">
      <c r="A328" s="34" t="s">
        <v>320</v>
      </c>
      <c r="B328" s="149">
        <f ca="1">'Meta calórica'!M67</f>
        <v>2613.66</v>
      </c>
      <c r="C328" s="149">
        <f>'Meta calórica'!N67</f>
        <v>0</v>
      </c>
      <c r="D328" s="149"/>
      <c r="E328" s="149"/>
      <c r="F328" s="149"/>
      <c r="G328" s="149"/>
      <c r="H328" s="149"/>
      <c r="I328" s="149"/>
      <c r="J328" s="149"/>
      <c r="K328" s="149"/>
      <c r="L328" s="149"/>
      <c r="M328" s="149"/>
      <c r="N328" s="149"/>
      <c r="O328" s="149"/>
      <c r="P328" s="149"/>
    </row>
    <row r="329" spans="1:16">
      <c r="B329" s="149"/>
      <c r="C329" s="149"/>
      <c r="D329" s="149"/>
      <c r="E329" s="149"/>
      <c r="F329" s="149"/>
      <c r="G329" s="149"/>
      <c r="H329" s="149"/>
      <c r="I329" s="149"/>
      <c r="J329" s="149"/>
      <c r="K329" s="149"/>
      <c r="L329" s="149"/>
      <c r="M329" s="149"/>
      <c r="N329" s="149"/>
      <c r="O329" s="149"/>
      <c r="P329" s="149"/>
    </row>
    <row r="330" spans="1:16">
      <c r="B330" s="149"/>
      <c r="C330" s="149"/>
      <c r="D330" s="149"/>
      <c r="E330" s="149"/>
      <c r="F330" s="149"/>
      <c r="G330" s="149"/>
      <c r="H330" s="149"/>
      <c r="I330" s="149"/>
      <c r="J330" s="149"/>
      <c r="K330" s="149"/>
      <c r="L330" s="149"/>
      <c r="M330" s="149"/>
      <c r="N330" s="149"/>
      <c r="O330" s="149"/>
      <c r="P330" s="149"/>
    </row>
    <row r="331" spans="1:16">
      <c r="A331" s="34" t="s">
        <v>1000</v>
      </c>
      <c r="B331" s="12">
        <v>0</v>
      </c>
      <c r="C331" s="149" t="e">
        <f t="shared" ref="C331:J331" ca="1" si="89">ROUND(B331+$B$334,0)</f>
        <v>#VALUE!</v>
      </c>
      <c r="D331" s="149" t="e">
        <f t="shared" ca="1" si="89"/>
        <v>#VALUE!</v>
      </c>
      <c r="E331" s="149" t="e">
        <f t="shared" ca="1" si="89"/>
        <v>#VALUE!</v>
      </c>
      <c r="F331" s="149" t="e">
        <f t="shared" ca="1" si="89"/>
        <v>#VALUE!</v>
      </c>
      <c r="G331" s="149" t="e">
        <f t="shared" ca="1" si="89"/>
        <v>#VALUE!</v>
      </c>
      <c r="H331" s="149" t="e">
        <f t="shared" ca="1" si="89"/>
        <v>#VALUE!</v>
      </c>
      <c r="I331" s="149" t="e">
        <f t="shared" ca="1" si="89"/>
        <v>#VALUE!</v>
      </c>
      <c r="J331" s="149" t="e">
        <f t="shared" ca="1" si="89"/>
        <v>#VALUE!</v>
      </c>
      <c r="K331" s="12" t="e">
        <f ca="1">INT(-7700*Graficos!$B$153/'Meta calórica'!$M$68)+1</f>
        <v>#VALUE!</v>
      </c>
      <c r="L331" s="12"/>
      <c r="M331" s="12"/>
      <c r="N331" s="12"/>
      <c r="O331" s="12"/>
    </row>
    <row r="332" spans="1:16">
      <c r="A332" s="34" t="s">
        <v>1001</v>
      </c>
      <c r="B332" s="147">
        <f ca="1">$B$143</f>
        <v>4.7317404841358313</v>
      </c>
      <c r="C332" s="147" t="e">
        <f ca="1">$B$332+(C331*'Meta calórica'!$M$68/7700)</f>
        <v>#VALUE!</v>
      </c>
      <c r="D332" s="147" t="e">
        <f ca="1">$B$332+(D331*'Meta calórica'!$M$68/7700)</f>
        <v>#VALUE!</v>
      </c>
      <c r="E332" s="147" t="e">
        <f ca="1">$B$332+(E331*'Meta calórica'!$M$68/7700)</f>
        <v>#VALUE!</v>
      </c>
      <c r="F332" s="147" t="e">
        <f ca="1">$B$332+(F331*'Meta calórica'!$M$68/7700)</f>
        <v>#VALUE!</v>
      </c>
      <c r="G332" s="147" t="e">
        <f ca="1">$B$332+(G331*'Meta calórica'!$M$68/7700)</f>
        <v>#VALUE!</v>
      </c>
      <c r="H332" s="147" t="e">
        <f ca="1">$B$332+(H331*'Meta calórica'!$M$68/7700)</f>
        <v>#VALUE!</v>
      </c>
      <c r="I332" s="147" t="e">
        <f ca="1">$B$332+(I331*'Meta calórica'!$M$68/7700)</f>
        <v>#VALUE!</v>
      </c>
      <c r="J332" s="147" t="e">
        <f ca="1">$B$332+(J331*'Meta calórica'!$M$68/7700)</f>
        <v>#VALUE!</v>
      </c>
      <c r="K332" s="147">
        <f>B147</f>
        <v>5.120967741935484</v>
      </c>
      <c r="L332" s="147"/>
      <c r="M332" s="147"/>
      <c r="N332" s="147"/>
      <c r="O332" s="147"/>
    </row>
    <row r="333" spans="1:16">
      <c r="B333" s="149"/>
      <c r="C333" s="149"/>
      <c r="D333" s="149"/>
      <c r="E333" s="149"/>
      <c r="F333" s="149"/>
      <c r="G333" s="149"/>
      <c r="H333" s="149"/>
      <c r="I333" s="149"/>
      <c r="J333" s="149"/>
      <c r="K333" s="149"/>
      <c r="L333" s="149"/>
      <c r="M333" s="149"/>
      <c r="N333" s="149"/>
      <c r="O333" s="149"/>
      <c r="P333" s="149"/>
    </row>
    <row r="334" spans="1:16">
      <c r="A334" s="34" t="s">
        <v>1002</v>
      </c>
      <c r="B334" s="149" t="e">
        <f ca="1">$K$331/9</f>
        <v>#VALUE!</v>
      </c>
      <c r="C334" s="149"/>
      <c r="D334" s="149"/>
      <c r="E334" s="149"/>
      <c r="F334" s="149"/>
      <c r="G334" s="149"/>
      <c r="H334" s="149"/>
      <c r="I334" s="149"/>
      <c r="J334" s="149"/>
      <c r="K334" s="149"/>
      <c r="L334" s="149"/>
      <c r="M334" s="149"/>
      <c r="N334" s="149"/>
      <c r="O334" s="149"/>
      <c r="P334" s="149"/>
    </row>
    <row r="335" spans="1:16">
      <c r="B335" s="149"/>
      <c r="C335" s="149"/>
      <c r="D335" s="149"/>
      <c r="E335" s="149"/>
      <c r="F335" s="149"/>
      <c r="G335" s="149"/>
      <c r="H335" s="149"/>
      <c r="I335" s="149"/>
      <c r="J335" s="149"/>
      <c r="K335" s="149"/>
      <c r="L335" s="149"/>
      <c r="M335" s="149"/>
      <c r="N335" s="149"/>
      <c r="O335" s="149"/>
      <c r="P335" s="149"/>
    </row>
    <row r="336" spans="1:16">
      <c r="B336" s="149"/>
      <c r="C336" s="149"/>
      <c r="D336" s="149"/>
      <c r="E336" s="149"/>
      <c r="F336" s="149"/>
      <c r="G336" s="149"/>
      <c r="H336" s="149"/>
      <c r="I336" s="149"/>
      <c r="J336" s="149"/>
      <c r="K336" s="149"/>
      <c r="L336" s="149"/>
      <c r="M336" s="149"/>
      <c r="N336" s="149"/>
      <c r="O336" s="149"/>
      <c r="P336" s="149"/>
    </row>
    <row r="337" spans="1:16">
      <c r="A337" s="34" t="s">
        <v>1003</v>
      </c>
      <c r="B337" s="253" t="s">
        <v>452</v>
      </c>
      <c r="C337" s="253" t="s">
        <v>281</v>
      </c>
      <c r="D337" s="253" t="s">
        <v>997</v>
      </c>
      <c r="E337" s="253" t="s">
        <v>1004</v>
      </c>
      <c r="F337" s="149"/>
      <c r="G337" s="149"/>
      <c r="H337" s="149"/>
      <c r="I337" s="149"/>
      <c r="J337" s="149"/>
      <c r="K337" s="149"/>
      <c r="L337" s="149"/>
      <c r="M337" s="149"/>
      <c r="N337" s="149"/>
      <c r="O337" s="149"/>
      <c r="P337" s="149"/>
    </row>
    <row r="338" spans="1:16">
      <c r="A338" s="266"/>
      <c r="B338" s="267">
        <v>0</v>
      </c>
      <c r="C338" s="148"/>
      <c r="D338" s="48" t="s">
        <v>290</v>
      </c>
      <c r="E338" s="147"/>
      <c r="G338" s="149"/>
      <c r="H338" s="149"/>
      <c r="I338" s="149"/>
      <c r="J338" s="149"/>
      <c r="K338" s="149"/>
      <c r="L338" s="149"/>
      <c r="M338" s="149"/>
      <c r="N338" s="149"/>
      <c r="O338" s="149"/>
      <c r="P338" s="149"/>
    </row>
    <row r="339" spans="1:16">
      <c r="A339" s="266" t="str">
        <f>'Meta calórica'!$A$126</f>
        <v>Café da Manhã</v>
      </c>
      <c r="B339" s="267">
        <f>'Meta calórica'!$K$126</f>
        <v>0.29166666666666669</v>
      </c>
      <c r="C339" s="148">
        <f t="shared" ref="C339:C356" ca="1" si="90">E339</f>
        <v>350.88385499999998</v>
      </c>
      <c r="D339" s="48" t="s">
        <v>290</v>
      </c>
      <c r="E339" s="147">
        <f ca="1">'Meta calórica'!C136</f>
        <v>350.88385499999998</v>
      </c>
      <c r="G339" s="149"/>
      <c r="H339" s="149"/>
      <c r="I339" s="149"/>
      <c r="J339" s="149"/>
      <c r="K339" s="149"/>
      <c r="L339" s="149"/>
      <c r="M339" s="149"/>
      <c r="N339" s="149"/>
      <c r="O339" s="149"/>
      <c r="P339" s="149"/>
    </row>
    <row r="340" spans="1:16">
      <c r="A340" s="266" t="str">
        <f>'Meta calórica'!$A$126</f>
        <v>Café da Manhã</v>
      </c>
      <c r="B340" s="267">
        <f>'Meta calórica'!$K$126</f>
        <v>0.29166666666666669</v>
      </c>
      <c r="C340" s="148">
        <f t="shared" ca="1" si="90"/>
        <v>155.51276999999999</v>
      </c>
      <c r="D340" s="48" t="s">
        <v>291</v>
      </c>
      <c r="E340" s="147">
        <f ca="1">'Meta calórica'!C137</f>
        <v>155.51276999999999</v>
      </c>
      <c r="G340" s="149"/>
      <c r="H340" s="149"/>
      <c r="I340" s="149"/>
      <c r="J340" s="149"/>
      <c r="K340" s="149"/>
      <c r="L340" s="149"/>
      <c r="M340" s="149"/>
      <c r="N340" s="149"/>
      <c r="O340" s="149"/>
      <c r="P340" s="149"/>
    </row>
    <row r="341" spans="1:16">
      <c r="A341" s="266" t="str">
        <f>'Meta calórica'!$A$126</f>
        <v>Café da Manhã</v>
      </c>
      <c r="B341" s="267">
        <f>'Meta calórica'!$K$126</f>
        <v>0.29166666666666669</v>
      </c>
      <c r="C341" s="148">
        <f t="shared" ca="1" si="90"/>
        <v>147.01837499999999</v>
      </c>
      <c r="D341" s="48" t="s">
        <v>292</v>
      </c>
      <c r="E341" s="147">
        <f ca="1">'Meta calórica'!C138</f>
        <v>147.01837499999999</v>
      </c>
      <c r="G341" s="149"/>
      <c r="H341" s="149"/>
      <c r="I341" s="149"/>
      <c r="J341" s="149"/>
      <c r="K341" s="149"/>
      <c r="L341" s="149"/>
      <c r="M341" s="149"/>
      <c r="N341" s="149"/>
      <c r="O341" s="149"/>
      <c r="P341" s="149"/>
    </row>
    <row r="342" spans="1:16">
      <c r="A342" s="266" t="str">
        <f>'Meta calórica'!$A$127</f>
        <v>Lanche da Manhã</v>
      </c>
      <c r="B342" s="267">
        <f>'Meta calórica'!$K$127</f>
        <v>0.375</v>
      </c>
      <c r="C342" s="148">
        <f t="shared" ca="1" si="90"/>
        <v>140.353542</v>
      </c>
      <c r="D342" s="48" t="str">
        <f>IF(A342="","","CHO")</f>
        <v>CHO</v>
      </c>
      <c r="E342" s="147">
        <f ca="1">'Meta calórica'!H136</f>
        <v>140.353542</v>
      </c>
      <c r="G342" s="149"/>
      <c r="H342" s="149"/>
      <c r="I342" s="149"/>
      <c r="J342" s="149"/>
      <c r="K342" s="149"/>
      <c r="L342" s="149"/>
      <c r="M342" s="149"/>
      <c r="N342" s="149"/>
      <c r="O342" s="149"/>
      <c r="P342" s="149"/>
    </row>
    <row r="343" spans="1:16">
      <c r="A343" s="266" t="str">
        <f>'Meta calórica'!$A$127</f>
        <v>Lanche da Manhã</v>
      </c>
      <c r="B343" s="267">
        <f>'Meta calórica'!$K$127</f>
        <v>0.375</v>
      </c>
      <c r="C343" s="148">
        <f t="shared" ca="1" si="90"/>
        <v>62.205108000000003</v>
      </c>
      <c r="D343" s="48" t="str">
        <f>IF(A343="","","PRO")</f>
        <v>PRO</v>
      </c>
      <c r="E343" s="147">
        <f ca="1">'Meta calórica'!H137</f>
        <v>62.205108000000003</v>
      </c>
      <c r="G343" s="149"/>
      <c r="H343" s="149"/>
      <c r="I343" s="149"/>
      <c r="J343" s="149"/>
      <c r="K343" s="149"/>
      <c r="L343" s="149"/>
      <c r="M343" s="149"/>
      <c r="N343" s="149"/>
      <c r="O343" s="149"/>
      <c r="P343" s="149"/>
    </row>
    <row r="344" spans="1:16">
      <c r="A344" s="266" t="str">
        <f>'Meta calórica'!$A$127</f>
        <v>Lanche da Manhã</v>
      </c>
      <c r="B344" s="267">
        <f>'Meta calórica'!$K$127</f>
        <v>0.375</v>
      </c>
      <c r="C344" s="148">
        <f t="shared" ca="1" si="90"/>
        <v>58.80735</v>
      </c>
      <c r="D344" s="48" t="str">
        <f>IF(A344="","","LIP")</f>
        <v>LIP</v>
      </c>
      <c r="E344" s="147">
        <f ca="1">'Meta calórica'!H138</f>
        <v>58.80735</v>
      </c>
      <c r="G344" s="149"/>
      <c r="H344" s="149"/>
      <c r="I344" s="149"/>
      <c r="J344" s="149"/>
      <c r="K344" s="149"/>
      <c r="L344" s="149"/>
      <c r="M344" s="149"/>
      <c r="N344" s="149"/>
      <c r="O344" s="149"/>
      <c r="P344" s="149"/>
    </row>
    <row r="345" spans="1:16">
      <c r="A345" s="266" t="str">
        <f>'Meta calórica'!$A$128</f>
        <v>Almoço</v>
      </c>
      <c r="B345" s="267">
        <f>'Meta calórica'!$K$128</f>
        <v>0.5</v>
      </c>
      <c r="C345" s="148">
        <f t="shared" ca="1" si="90"/>
        <v>491.23739699999999</v>
      </c>
      <c r="D345" s="48" t="str">
        <f>IF(A345="","","CHO")</f>
        <v>CHO</v>
      </c>
      <c r="E345" s="147">
        <f ca="1">'Meta calórica'!M136</f>
        <v>491.23739699999999</v>
      </c>
      <c r="G345" s="149"/>
      <c r="H345" s="149"/>
      <c r="I345" s="149"/>
      <c r="J345" s="149"/>
      <c r="K345" s="149"/>
      <c r="L345" s="149"/>
      <c r="M345" s="149"/>
      <c r="N345" s="149"/>
      <c r="O345" s="149"/>
      <c r="P345" s="149"/>
    </row>
    <row r="346" spans="1:16">
      <c r="A346" s="266" t="str">
        <f>'Meta calórica'!$A$128</f>
        <v>Almoço</v>
      </c>
      <c r="B346" s="267">
        <f>'Meta calórica'!$K$128</f>
        <v>0.5</v>
      </c>
      <c r="C346" s="148">
        <f t="shared" ca="1" si="90"/>
        <v>217.71787799999998</v>
      </c>
      <c r="D346" s="48" t="str">
        <f>IF(A346="","","PRO")</f>
        <v>PRO</v>
      </c>
      <c r="E346" s="147">
        <f ca="1">'Meta calórica'!M137</f>
        <v>217.71787799999998</v>
      </c>
      <c r="G346" s="149"/>
      <c r="H346" s="149"/>
      <c r="I346" s="149"/>
      <c r="J346" s="149"/>
      <c r="K346" s="149"/>
      <c r="L346" s="149"/>
      <c r="M346" s="149"/>
      <c r="N346" s="149"/>
      <c r="O346" s="149"/>
      <c r="P346" s="149"/>
    </row>
    <row r="347" spans="1:16">
      <c r="A347" s="266" t="str">
        <f>'Meta calórica'!$A$128</f>
        <v>Almoço</v>
      </c>
      <c r="B347" s="267">
        <f>'Meta calórica'!$K$128</f>
        <v>0.5</v>
      </c>
      <c r="C347" s="148">
        <f t="shared" ca="1" si="90"/>
        <v>205.82572499999998</v>
      </c>
      <c r="D347" s="48" t="str">
        <f>IF(A347="","","LIP")</f>
        <v>LIP</v>
      </c>
      <c r="E347" s="147">
        <f ca="1">'Meta calórica'!M138</f>
        <v>205.82572499999998</v>
      </c>
      <c r="G347" s="149"/>
      <c r="H347" s="149"/>
      <c r="I347" s="149"/>
      <c r="J347" s="149"/>
      <c r="K347" s="149"/>
      <c r="L347" s="149"/>
      <c r="M347" s="149"/>
      <c r="N347" s="149"/>
      <c r="O347" s="149"/>
      <c r="P347" s="149"/>
    </row>
    <row r="348" spans="1:16">
      <c r="A348" s="266" t="str">
        <f>'Meta calórica'!$A$129</f>
        <v>Lanche da Tarde</v>
      </c>
      <c r="B348" s="267">
        <f>'Meta calórica'!$K$129</f>
        <v>0.66666666666666663</v>
      </c>
      <c r="C348" s="148">
        <f t="shared" ca="1" si="90"/>
        <v>140.353542</v>
      </c>
      <c r="D348" s="48" t="str">
        <f>IF(A348="","","CHO")</f>
        <v>CHO</v>
      </c>
      <c r="E348" s="147">
        <f ca="1">'Meta calórica'!C144</f>
        <v>140.353542</v>
      </c>
      <c r="G348" s="149"/>
      <c r="H348" s="149"/>
      <c r="I348" s="149"/>
      <c r="J348" s="149"/>
      <c r="K348" s="149"/>
      <c r="L348" s="149"/>
      <c r="M348" s="149"/>
      <c r="N348" s="149"/>
      <c r="O348" s="149"/>
      <c r="P348" s="149"/>
    </row>
    <row r="349" spans="1:16">
      <c r="A349" s="266" t="str">
        <f>'Meta calórica'!$A$129</f>
        <v>Lanche da Tarde</v>
      </c>
      <c r="B349" s="267">
        <f>'Meta calórica'!$K$129</f>
        <v>0.66666666666666663</v>
      </c>
      <c r="C349" s="148">
        <f t="shared" ca="1" si="90"/>
        <v>62.205108000000003</v>
      </c>
      <c r="D349" s="48" t="str">
        <f>IF(A349="","","PRO")</f>
        <v>PRO</v>
      </c>
      <c r="E349" s="147">
        <f ca="1">'Meta calórica'!C145</f>
        <v>62.205108000000003</v>
      </c>
      <c r="G349" s="149"/>
      <c r="H349" s="149"/>
      <c r="I349" s="149"/>
      <c r="J349" s="149"/>
      <c r="K349" s="149"/>
      <c r="L349" s="149"/>
      <c r="M349" s="149"/>
      <c r="N349" s="149"/>
      <c r="O349" s="149"/>
      <c r="P349" s="149"/>
    </row>
    <row r="350" spans="1:16">
      <c r="A350" s="266" t="str">
        <f>'Meta calórica'!$A$129</f>
        <v>Lanche da Tarde</v>
      </c>
      <c r="B350" s="267">
        <f>'Meta calórica'!$K$129</f>
        <v>0.66666666666666663</v>
      </c>
      <c r="C350" s="148">
        <f t="shared" ca="1" si="90"/>
        <v>58.80735</v>
      </c>
      <c r="D350" s="48" t="str">
        <f>IF(A350="","","LIP")</f>
        <v>LIP</v>
      </c>
      <c r="E350" s="147">
        <f ca="1">'Meta calórica'!C146</f>
        <v>58.80735</v>
      </c>
      <c r="G350" s="149"/>
      <c r="H350" s="149"/>
      <c r="I350" s="149"/>
      <c r="J350" s="149"/>
      <c r="K350" s="149"/>
      <c r="L350" s="149"/>
      <c r="M350" s="149"/>
      <c r="N350" s="149"/>
      <c r="O350" s="149"/>
      <c r="P350" s="149"/>
    </row>
    <row r="351" spans="1:16">
      <c r="A351" s="266" t="str">
        <f>'Meta calórica'!$A$130</f>
        <v>Jantar</v>
      </c>
      <c r="B351" s="267">
        <f>'Meta calórica'!$K$130</f>
        <v>0.8125</v>
      </c>
      <c r="C351" s="148">
        <f t="shared" ca="1" si="90"/>
        <v>280.70708400000001</v>
      </c>
      <c r="D351" s="48" t="str">
        <f>IF(A351="","","CHO")</f>
        <v>CHO</v>
      </c>
      <c r="E351" s="147">
        <f ca="1">'Meta calórica'!H144</f>
        <v>280.70708400000001</v>
      </c>
      <c r="G351" s="149"/>
      <c r="H351" s="149"/>
      <c r="I351" s="149"/>
      <c r="J351" s="149"/>
      <c r="K351" s="149"/>
      <c r="L351" s="149"/>
      <c r="M351" s="149"/>
      <c r="N351" s="149"/>
      <c r="O351" s="149"/>
      <c r="P351" s="149"/>
    </row>
    <row r="352" spans="1:16">
      <c r="A352" s="266" t="str">
        <f>'Meta calórica'!$A$130</f>
        <v>Jantar</v>
      </c>
      <c r="B352" s="267">
        <f>'Meta calórica'!$K$130</f>
        <v>0.8125</v>
      </c>
      <c r="C352" s="148">
        <f t="shared" ca="1" si="90"/>
        <v>124.41021600000001</v>
      </c>
      <c r="D352" s="48" t="str">
        <f>IF(A352="","","PRO")</f>
        <v>PRO</v>
      </c>
      <c r="E352" s="147">
        <f ca="1">'Meta calórica'!H145</f>
        <v>124.41021600000001</v>
      </c>
      <c r="G352" s="149"/>
      <c r="H352" s="149"/>
      <c r="I352" s="149"/>
      <c r="J352" s="149"/>
      <c r="K352" s="149"/>
      <c r="L352" s="149"/>
      <c r="M352" s="149"/>
      <c r="N352" s="149"/>
      <c r="O352" s="149"/>
      <c r="P352" s="149"/>
    </row>
    <row r="353" spans="1:16">
      <c r="A353" s="266" t="str">
        <f>'Meta calórica'!$A$130</f>
        <v>Jantar</v>
      </c>
      <c r="B353" s="267">
        <f>'Meta calórica'!$K$130</f>
        <v>0.8125</v>
      </c>
      <c r="C353" s="148">
        <f t="shared" ca="1" si="90"/>
        <v>117.6147</v>
      </c>
      <c r="D353" s="48" t="str">
        <f>IF(A353="","","LIP")</f>
        <v>LIP</v>
      </c>
      <c r="E353" s="147">
        <f ca="1">'Meta calórica'!H146</f>
        <v>117.6147</v>
      </c>
      <c r="G353" s="149"/>
      <c r="H353" s="149"/>
      <c r="I353" s="149"/>
      <c r="J353" s="149"/>
      <c r="K353" s="149"/>
      <c r="L353" s="149"/>
      <c r="M353" s="149"/>
      <c r="N353" s="149"/>
      <c r="O353" s="149"/>
      <c r="P353" s="149"/>
    </row>
    <row r="354" spans="1:16">
      <c r="A354" s="266">
        <f>'Meta calórica'!$A$131</f>
        <v>0</v>
      </c>
      <c r="B354" s="267">
        <f>'Meta calórica'!$K$131</f>
        <v>0</v>
      </c>
      <c r="C354" s="148" t="e">
        <f t="shared" si="90"/>
        <v>#VALUE!</v>
      </c>
      <c r="D354" s="48" t="str">
        <f>IF(A354="","","CHO")</f>
        <v>CHO</v>
      </c>
      <c r="E354" s="147" t="e">
        <f>'Meta calórica'!M144</f>
        <v>#VALUE!</v>
      </c>
      <c r="G354" s="149"/>
      <c r="H354" s="149"/>
      <c r="I354" s="149"/>
      <c r="J354" s="149"/>
      <c r="K354" s="149"/>
      <c r="L354" s="149"/>
      <c r="M354" s="149"/>
      <c r="N354" s="149"/>
      <c r="O354" s="149"/>
      <c r="P354" s="149"/>
    </row>
    <row r="355" spans="1:16">
      <c r="A355" s="266">
        <f>'Meta calórica'!$A$131</f>
        <v>0</v>
      </c>
      <c r="B355" s="267">
        <f>'Meta calórica'!$K$131</f>
        <v>0</v>
      </c>
      <c r="C355" s="148" t="e">
        <f t="shared" si="90"/>
        <v>#VALUE!</v>
      </c>
      <c r="D355" s="48" t="str">
        <f>IF(A355="","","PRO")</f>
        <v>PRO</v>
      </c>
      <c r="E355" s="147" t="e">
        <f>'Meta calórica'!M145</f>
        <v>#VALUE!</v>
      </c>
      <c r="G355" s="149"/>
      <c r="H355" s="149"/>
      <c r="I355" s="149"/>
      <c r="J355" s="149"/>
      <c r="K355" s="149"/>
      <c r="L355" s="149"/>
      <c r="M355" s="149"/>
      <c r="N355" s="149"/>
      <c r="O355" s="149"/>
      <c r="P355" s="149"/>
    </row>
    <row r="356" spans="1:16">
      <c r="A356" s="266">
        <f>'Meta calórica'!$A$131</f>
        <v>0</v>
      </c>
      <c r="B356" s="267">
        <f>'Meta calórica'!$K$131</f>
        <v>0</v>
      </c>
      <c r="C356" s="148" t="e">
        <f t="shared" si="90"/>
        <v>#VALUE!</v>
      </c>
      <c r="D356" s="48" t="str">
        <f>IF(A356="","","LIP")</f>
        <v>LIP</v>
      </c>
      <c r="E356" s="147" t="e">
        <f>'Meta calórica'!M146</f>
        <v>#VALUE!</v>
      </c>
      <c r="G356" s="149"/>
      <c r="H356" s="149"/>
      <c r="I356" s="149"/>
      <c r="J356" s="149"/>
      <c r="K356" s="149"/>
      <c r="L356" s="149"/>
      <c r="M356" s="149"/>
      <c r="N356" s="149"/>
      <c r="O356" s="149"/>
      <c r="P356" s="149"/>
    </row>
    <row r="357" spans="1:16">
      <c r="A357" s="266"/>
      <c r="B357" s="267">
        <v>1</v>
      </c>
      <c r="C357" s="148"/>
      <c r="D357" s="48"/>
      <c r="E357" s="147"/>
      <c r="F357" s="149"/>
      <c r="G357" s="149"/>
      <c r="H357" s="149"/>
      <c r="I357" s="149"/>
      <c r="J357" s="149"/>
      <c r="K357" s="149"/>
      <c r="L357" s="149"/>
      <c r="M357" s="149"/>
      <c r="N357" s="149"/>
      <c r="O357" s="149"/>
      <c r="P357" s="149"/>
    </row>
    <row r="358" spans="1:16">
      <c r="B358" s="149"/>
      <c r="C358" s="149"/>
      <c r="D358" s="266"/>
      <c r="E358" s="149"/>
      <c r="F358" s="149"/>
      <c r="G358" s="149"/>
      <c r="H358" s="149"/>
      <c r="I358" s="149"/>
      <c r="J358" s="149"/>
      <c r="K358" s="149"/>
      <c r="L358" s="149"/>
      <c r="M358" s="149"/>
      <c r="N358" s="149"/>
      <c r="O358" s="149"/>
      <c r="P358" s="149"/>
    </row>
    <row r="359" spans="1:16">
      <c r="B359" s="149"/>
      <c r="C359" s="149"/>
      <c r="D359" s="266"/>
      <c r="E359" s="149"/>
      <c r="F359" s="149"/>
      <c r="G359" s="149"/>
      <c r="H359" s="149"/>
      <c r="I359" s="149"/>
      <c r="J359" s="149"/>
      <c r="K359" s="149"/>
      <c r="L359" s="149"/>
      <c r="M359" s="149"/>
      <c r="N359" s="149"/>
      <c r="O359" s="149"/>
      <c r="P359" s="149"/>
    </row>
  </sheetData>
  <pageMargins left="0.511811024" right="0.511811024" top="0.78740157499999996" bottom="0.78740157499999996" header="0.31496062000000002" footer="0.31496062000000002"/>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J1000"/>
  <sheetViews>
    <sheetView workbookViewId="0"/>
  </sheetViews>
  <sheetFormatPr defaultColWidth="12.5703125" defaultRowHeight="15.75" customHeight="1"/>
  <cols>
    <col min="1" max="1" width="55.42578125" customWidth="1"/>
    <col min="2" max="2" width="3.28515625" customWidth="1"/>
    <col min="3" max="5" width="3.140625" customWidth="1"/>
    <col min="6" max="6" width="2.140625" customWidth="1"/>
    <col min="7" max="7" width="23.140625" customWidth="1"/>
    <col min="8" max="8" width="9.140625" customWidth="1"/>
  </cols>
  <sheetData>
    <row r="1" spans="1:10">
      <c r="A1" s="268" t="s">
        <v>1005</v>
      </c>
      <c r="C1" s="502" t="s">
        <v>1006</v>
      </c>
      <c r="D1" s="294"/>
      <c r="E1" s="294"/>
      <c r="F1" s="294"/>
      <c r="G1" s="294"/>
      <c r="I1" s="140" t="s">
        <v>1007</v>
      </c>
    </row>
    <row r="2" spans="1:10">
      <c r="A2" s="269" t="s">
        <v>1008</v>
      </c>
      <c r="C2" s="270" t="s">
        <v>1009</v>
      </c>
      <c r="D2" s="174" t="s">
        <v>1009</v>
      </c>
      <c r="E2" s="271" t="s">
        <v>1010</v>
      </c>
      <c r="I2" s="272">
        <v>36894</v>
      </c>
      <c r="J2" s="34" t="s">
        <v>1011</v>
      </c>
    </row>
    <row r="3" spans="1:10">
      <c r="A3" s="269"/>
      <c r="C3" s="270"/>
      <c r="D3" s="174"/>
      <c r="E3" s="271"/>
      <c r="F3" s="271"/>
      <c r="G3" s="271" t="s">
        <v>1012</v>
      </c>
      <c r="I3" s="273">
        <v>37259</v>
      </c>
      <c r="J3" s="34" t="s">
        <v>1013</v>
      </c>
    </row>
    <row r="4" spans="1:10">
      <c r="A4" s="269"/>
      <c r="C4" s="270"/>
      <c r="D4" s="174"/>
      <c r="E4" s="271"/>
      <c r="F4" s="271"/>
      <c r="G4" s="271" t="s">
        <v>1014</v>
      </c>
      <c r="I4" s="273">
        <v>37624</v>
      </c>
      <c r="J4" s="34" t="s">
        <v>1015</v>
      </c>
    </row>
    <row r="5" spans="1:10">
      <c r="A5" s="269"/>
      <c r="C5" s="270"/>
      <c r="D5" s="174"/>
      <c r="I5" s="273">
        <v>37989</v>
      </c>
      <c r="J5" s="34" t="s">
        <v>1016</v>
      </c>
    </row>
    <row r="6" spans="1:10">
      <c r="A6" s="269"/>
      <c r="C6" s="270"/>
      <c r="D6" s="174"/>
      <c r="E6" s="174"/>
      <c r="F6" s="174"/>
      <c r="G6" s="174" t="s">
        <v>1017</v>
      </c>
      <c r="I6" s="274">
        <v>38020</v>
      </c>
      <c r="J6" s="34" t="s">
        <v>1018</v>
      </c>
    </row>
    <row r="7" spans="1:10">
      <c r="A7" s="269"/>
      <c r="C7" s="270"/>
      <c r="D7" s="174"/>
      <c r="E7" s="174"/>
      <c r="F7" s="174"/>
      <c r="G7" s="174" t="s">
        <v>1019</v>
      </c>
      <c r="I7" s="273">
        <v>38386</v>
      </c>
      <c r="J7" s="34" t="s">
        <v>1020</v>
      </c>
    </row>
    <row r="8" spans="1:10">
      <c r="A8" s="269"/>
      <c r="C8" s="270"/>
      <c r="D8" s="12"/>
      <c r="E8" s="12"/>
      <c r="I8" s="273">
        <v>38751</v>
      </c>
      <c r="J8" s="34" t="s">
        <v>1021</v>
      </c>
    </row>
    <row r="9" spans="1:10">
      <c r="A9" s="269"/>
      <c r="C9" s="270"/>
      <c r="D9" s="270"/>
      <c r="E9" s="270"/>
      <c r="F9" s="270"/>
      <c r="G9" s="270" t="s">
        <v>1022</v>
      </c>
      <c r="I9" s="274">
        <v>38779</v>
      </c>
      <c r="J9" s="34" t="s">
        <v>1023</v>
      </c>
    </row>
    <row r="10" spans="1:10">
      <c r="A10" s="269"/>
      <c r="C10" s="270"/>
      <c r="D10" s="270"/>
      <c r="E10" s="270"/>
      <c r="F10" s="270"/>
      <c r="G10" s="270" t="s">
        <v>1024</v>
      </c>
      <c r="I10" s="273">
        <v>39144</v>
      </c>
      <c r="J10" s="34" t="s">
        <v>1025</v>
      </c>
    </row>
    <row r="11" spans="1:10">
      <c r="A11" s="269"/>
      <c r="C11" s="12"/>
      <c r="D11" s="12"/>
      <c r="E11" s="12"/>
      <c r="I11" s="273">
        <v>39510</v>
      </c>
      <c r="J11" s="34" t="s">
        <v>1026</v>
      </c>
    </row>
    <row r="12" spans="1:10">
      <c r="A12" s="269"/>
      <c r="C12" s="12"/>
      <c r="D12" s="12"/>
      <c r="E12" s="12"/>
      <c r="I12" s="273">
        <v>39875</v>
      </c>
      <c r="J12" s="34" t="s">
        <v>1027</v>
      </c>
    </row>
    <row r="13" spans="1:10">
      <c r="A13" s="269"/>
      <c r="C13" s="12"/>
      <c r="D13" s="12"/>
      <c r="E13" s="12"/>
      <c r="I13" s="274">
        <v>39906</v>
      </c>
      <c r="J13" s="34" t="s">
        <v>1028</v>
      </c>
    </row>
    <row r="14" spans="1:10">
      <c r="A14" s="269"/>
      <c r="C14" s="12"/>
      <c r="D14" s="12"/>
      <c r="E14" s="12"/>
      <c r="I14" s="273">
        <v>40271</v>
      </c>
      <c r="J14" s="34" t="s">
        <v>1029</v>
      </c>
    </row>
    <row r="15" spans="1:10">
      <c r="A15" s="269"/>
      <c r="C15" s="12"/>
      <c r="D15" s="12"/>
      <c r="E15" s="12"/>
      <c r="I15" s="274">
        <v>40301</v>
      </c>
      <c r="J15" s="34" t="s">
        <v>1030</v>
      </c>
    </row>
    <row r="16" spans="1:10">
      <c r="A16" s="269"/>
      <c r="C16" s="12"/>
      <c r="D16" s="12"/>
      <c r="E16" s="12"/>
      <c r="I16" s="272">
        <v>40302</v>
      </c>
      <c r="J16" s="34" t="s">
        <v>1031</v>
      </c>
    </row>
    <row r="17" spans="1:10">
      <c r="A17" s="269"/>
      <c r="C17" s="12"/>
      <c r="D17" s="12"/>
      <c r="E17" s="12"/>
      <c r="I17" s="274">
        <v>40333</v>
      </c>
      <c r="J17" s="34" t="s">
        <v>1032</v>
      </c>
    </row>
    <row r="18" spans="1:10">
      <c r="A18" s="269"/>
      <c r="C18" s="12"/>
      <c r="D18" s="12"/>
      <c r="E18" s="12"/>
      <c r="I18" s="274">
        <v>40363</v>
      </c>
      <c r="J18" s="34" t="s">
        <v>1033</v>
      </c>
    </row>
    <row r="19" spans="1:10">
      <c r="A19" s="269"/>
      <c r="C19" s="12"/>
      <c r="D19" s="12"/>
      <c r="E19" s="12"/>
      <c r="I19" s="274">
        <v>40728</v>
      </c>
      <c r="J19" s="34" t="s">
        <v>1034</v>
      </c>
    </row>
    <row r="20" spans="1:10">
      <c r="A20" s="269"/>
      <c r="C20" s="12"/>
      <c r="D20" s="12"/>
      <c r="E20" s="12"/>
      <c r="I20" s="275"/>
    </row>
    <row r="21" spans="1:10">
      <c r="A21" s="269"/>
      <c r="C21" s="12"/>
      <c r="D21" s="12"/>
      <c r="E21" s="12"/>
      <c r="I21" s="275"/>
    </row>
    <row r="22" spans="1:10">
      <c r="A22" s="269"/>
      <c r="C22" s="12"/>
      <c r="D22" s="12"/>
      <c r="E22" s="12"/>
      <c r="I22" s="275"/>
    </row>
    <row r="23" spans="1:10">
      <c r="A23" s="269"/>
      <c r="C23" s="12"/>
      <c r="D23" s="12"/>
      <c r="E23" s="12"/>
      <c r="I23" s="275"/>
    </row>
    <row r="24" spans="1:10">
      <c r="C24" s="12"/>
      <c r="D24" s="12"/>
      <c r="E24" s="12"/>
      <c r="I24" s="275"/>
    </row>
    <row r="25" spans="1:10">
      <c r="C25" s="12"/>
      <c r="D25" s="12"/>
      <c r="E25" s="12"/>
      <c r="I25" s="275"/>
    </row>
    <row r="26" spans="1:10">
      <c r="C26" s="12"/>
      <c r="D26" s="12"/>
      <c r="E26" s="12"/>
      <c r="I26" s="275"/>
    </row>
    <row r="27" spans="1:10">
      <c r="C27" s="12"/>
      <c r="D27" s="12"/>
      <c r="E27" s="12"/>
      <c r="I27" s="275"/>
    </row>
    <row r="28" spans="1:10">
      <c r="C28" s="12"/>
      <c r="D28" s="12"/>
      <c r="E28" s="12"/>
      <c r="I28" s="275"/>
    </row>
    <row r="29" spans="1:10">
      <c r="C29" s="12"/>
      <c r="D29" s="12"/>
      <c r="E29" s="12"/>
      <c r="I29" s="275"/>
    </row>
    <row r="30" spans="1:10">
      <c r="C30" s="12"/>
      <c r="D30" s="12"/>
      <c r="E30" s="12"/>
      <c r="I30" s="275"/>
    </row>
    <row r="31" spans="1:10">
      <c r="C31" s="12"/>
      <c r="D31" s="12"/>
      <c r="E31" s="12"/>
      <c r="I31" s="275"/>
    </row>
    <row r="32" spans="1:10">
      <c r="C32" s="12"/>
      <c r="D32" s="12"/>
      <c r="E32" s="12"/>
      <c r="I32" s="275"/>
    </row>
    <row r="33" spans="3:9">
      <c r="C33" s="12"/>
      <c r="D33" s="12"/>
      <c r="E33" s="12"/>
      <c r="I33" s="275"/>
    </row>
    <row r="34" spans="3:9">
      <c r="C34" s="12"/>
      <c r="D34" s="12"/>
      <c r="E34" s="12"/>
      <c r="I34" s="275"/>
    </row>
    <row r="35" spans="3:9">
      <c r="C35" s="12"/>
      <c r="D35" s="12"/>
      <c r="E35" s="12"/>
      <c r="I35" s="275"/>
    </row>
    <row r="36" spans="3:9">
      <c r="C36" s="12"/>
      <c r="D36" s="12"/>
      <c r="E36" s="12"/>
      <c r="I36" s="275"/>
    </row>
    <row r="37" spans="3:9">
      <c r="C37" s="12"/>
      <c r="D37" s="12"/>
      <c r="E37" s="12"/>
      <c r="I37" s="275"/>
    </row>
    <row r="38" spans="3:9">
      <c r="C38" s="12"/>
      <c r="D38" s="12"/>
      <c r="E38" s="12"/>
      <c r="I38" s="275"/>
    </row>
    <row r="39" spans="3:9">
      <c r="C39" s="12"/>
      <c r="D39" s="12"/>
      <c r="E39" s="12"/>
      <c r="I39" s="275"/>
    </row>
    <row r="40" spans="3:9">
      <c r="C40" s="12"/>
      <c r="D40" s="12"/>
      <c r="E40" s="12"/>
      <c r="I40" s="275"/>
    </row>
    <row r="41" spans="3:9">
      <c r="C41" s="12"/>
      <c r="D41" s="12"/>
      <c r="E41" s="12"/>
      <c r="I41" s="275"/>
    </row>
    <row r="42" spans="3:9">
      <c r="C42" s="12"/>
      <c r="D42" s="12"/>
      <c r="E42" s="12"/>
      <c r="I42" s="275"/>
    </row>
    <row r="43" spans="3:9">
      <c r="C43" s="12"/>
      <c r="D43" s="12"/>
      <c r="E43" s="12"/>
      <c r="I43" s="275"/>
    </row>
    <row r="44" spans="3:9">
      <c r="C44" s="12"/>
      <c r="D44" s="12"/>
      <c r="E44" s="12"/>
      <c r="I44" s="275"/>
    </row>
    <row r="45" spans="3:9">
      <c r="C45" s="12"/>
      <c r="D45" s="12"/>
      <c r="E45" s="12"/>
      <c r="I45" s="275"/>
    </row>
    <row r="46" spans="3:9">
      <c r="C46" s="12"/>
      <c r="D46" s="12"/>
      <c r="E46" s="12"/>
      <c r="I46" s="275"/>
    </row>
    <row r="47" spans="3:9">
      <c r="C47" s="12"/>
      <c r="D47" s="12"/>
      <c r="E47" s="12"/>
      <c r="I47" s="275"/>
    </row>
    <row r="48" spans="3:9">
      <c r="C48" s="12"/>
      <c r="D48" s="12"/>
      <c r="E48" s="12"/>
      <c r="I48" s="275"/>
    </row>
    <row r="49" spans="3:9">
      <c r="C49" s="12"/>
      <c r="D49" s="12"/>
      <c r="E49" s="12"/>
      <c r="I49" s="275"/>
    </row>
    <row r="50" spans="3:9">
      <c r="C50" s="12"/>
      <c r="D50" s="12"/>
      <c r="E50" s="12"/>
      <c r="I50" s="275"/>
    </row>
    <row r="51" spans="3:9">
      <c r="C51" s="12"/>
      <c r="D51" s="12"/>
      <c r="E51" s="12"/>
      <c r="I51" s="275"/>
    </row>
    <row r="52" spans="3:9">
      <c r="C52" s="12"/>
      <c r="D52" s="12"/>
      <c r="E52" s="12"/>
      <c r="I52" s="275"/>
    </row>
    <row r="53" spans="3:9">
      <c r="C53" s="12"/>
      <c r="D53" s="12"/>
      <c r="E53" s="12"/>
      <c r="I53" s="275"/>
    </row>
    <row r="54" spans="3:9">
      <c r="C54" s="12"/>
      <c r="D54" s="12"/>
      <c r="E54" s="12"/>
      <c r="I54" s="275"/>
    </row>
    <row r="55" spans="3:9">
      <c r="C55" s="12"/>
      <c r="D55" s="12"/>
      <c r="E55" s="12"/>
      <c r="I55" s="275"/>
    </row>
    <row r="56" spans="3:9">
      <c r="C56" s="12"/>
      <c r="D56" s="12"/>
      <c r="E56" s="12"/>
      <c r="I56" s="275"/>
    </row>
    <row r="57" spans="3:9">
      <c r="C57" s="12"/>
      <c r="D57" s="12"/>
      <c r="E57" s="12"/>
      <c r="I57" s="275"/>
    </row>
    <row r="58" spans="3:9">
      <c r="C58" s="12"/>
      <c r="D58" s="12"/>
      <c r="E58" s="12"/>
      <c r="I58" s="275"/>
    </row>
    <row r="59" spans="3:9">
      <c r="C59" s="12"/>
      <c r="D59" s="12"/>
      <c r="E59" s="12"/>
      <c r="I59" s="275"/>
    </row>
    <row r="60" spans="3:9">
      <c r="C60" s="12"/>
      <c r="D60" s="12"/>
      <c r="E60" s="12"/>
      <c r="I60" s="275"/>
    </row>
    <row r="61" spans="3:9">
      <c r="C61" s="12"/>
      <c r="D61" s="12"/>
      <c r="E61" s="12"/>
      <c r="I61" s="275"/>
    </row>
    <row r="62" spans="3:9">
      <c r="C62" s="12"/>
      <c r="D62" s="12"/>
      <c r="E62" s="12"/>
      <c r="I62" s="275"/>
    </row>
    <row r="63" spans="3:9">
      <c r="C63" s="12"/>
      <c r="D63" s="12"/>
      <c r="E63" s="12"/>
      <c r="I63" s="275"/>
    </row>
    <row r="64" spans="3:9">
      <c r="C64" s="12"/>
      <c r="D64" s="12"/>
      <c r="E64" s="12"/>
      <c r="I64" s="275"/>
    </row>
    <row r="65" spans="3:9">
      <c r="C65" s="12"/>
      <c r="D65" s="12"/>
      <c r="E65" s="12"/>
      <c r="I65" s="275"/>
    </row>
    <row r="66" spans="3:9">
      <c r="C66" s="12"/>
      <c r="D66" s="12"/>
      <c r="E66" s="12"/>
      <c r="I66" s="275"/>
    </row>
    <row r="67" spans="3:9">
      <c r="C67" s="12"/>
      <c r="D67" s="12"/>
      <c r="E67" s="12"/>
      <c r="I67" s="275"/>
    </row>
    <row r="68" spans="3:9">
      <c r="C68" s="12"/>
      <c r="D68" s="12"/>
      <c r="E68" s="12"/>
      <c r="I68" s="275"/>
    </row>
    <row r="69" spans="3:9">
      <c r="C69" s="12"/>
      <c r="D69" s="12"/>
      <c r="E69" s="12"/>
      <c r="I69" s="275"/>
    </row>
    <row r="70" spans="3:9">
      <c r="C70" s="12"/>
      <c r="D70" s="12"/>
      <c r="E70" s="12"/>
      <c r="I70" s="275"/>
    </row>
    <row r="71" spans="3:9">
      <c r="C71" s="12"/>
      <c r="D71" s="12"/>
      <c r="E71" s="12"/>
      <c r="I71" s="275"/>
    </row>
    <row r="72" spans="3:9">
      <c r="C72" s="12"/>
      <c r="D72" s="12"/>
      <c r="E72" s="12"/>
      <c r="I72" s="275"/>
    </row>
    <row r="73" spans="3:9">
      <c r="C73" s="12"/>
      <c r="D73" s="12"/>
      <c r="E73" s="12"/>
      <c r="I73" s="275"/>
    </row>
    <row r="74" spans="3:9">
      <c r="C74" s="12"/>
      <c r="D74" s="12"/>
      <c r="E74" s="12"/>
      <c r="I74" s="275"/>
    </row>
    <row r="75" spans="3:9">
      <c r="C75" s="12"/>
      <c r="D75" s="12"/>
      <c r="E75" s="12"/>
      <c r="I75" s="275"/>
    </row>
    <row r="76" spans="3:9">
      <c r="C76" s="12"/>
      <c r="D76" s="12"/>
      <c r="E76" s="12"/>
      <c r="I76" s="275"/>
    </row>
    <row r="77" spans="3:9">
      <c r="C77" s="12"/>
      <c r="D77" s="12"/>
      <c r="E77" s="12"/>
      <c r="I77" s="275"/>
    </row>
    <row r="78" spans="3:9">
      <c r="C78" s="12"/>
      <c r="D78" s="12"/>
      <c r="E78" s="12"/>
      <c r="I78" s="275"/>
    </row>
    <row r="79" spans="3:9">
      <c r="C79" s="12"/>
      <c r="D79" s="12"/>
      <c r="E79" s="12"/>
      <c r="I79" s="275"/>
    </row>
    <row r="80" spans="3:9">
      <c r="C80" s="12"/>
      <c r="D80" s="12"/>
      <c r="E80" s="12"/>
      <c r="I80" s="275"/>
    </row>
    <row r="81" spans="3:9">
      <c r="C81" s="12"/>
      <c r="D81" s="12"/>
      <c r="E81" s="12"/>
      <c r="I81" s="275"/>
    </row>
    <row r="82" spans="3:9">
      <c r="C82" s="12"/>
      <c r="D82" s="12"/>
      <c r="E82" s="12"/>
      <c r="I82" s="275"/>
    </row>
    <row r="83" spans="3:9">
      <c r="C83" s="12"/>
      <c r="D83" s="12"/>
      <c r="E83" s="12"/>
      <c r="I83" s="275"/>
    </row>
    <row r="84" spans="3:9">
      <c r="C84" s="12"/>
      <c r="D84" s="12"/>
      <c r="E84" s="12"/>
      <c r="I84" s="275"/>
    </row>
    <row r="85" spans="3:9">
      <c r="C85" s="12"/>
      <c r="D85" s="12"/>
      <c r="E85" s="12"/>
      <c r="I85" s="275"/>
    </row>
    <row r="86" spans="3:9">
      <c r="C86" s="12"/>
      <c r="D86" s="12"/>
      <c r="E86" s="12"/>
      <c r="I86" s="275"/>
    </row>
    <row r="87" spans="3:9">
      <c r="C87" s="12"/>
      <c r="D87" s="12"/>
      <c r="E87" s="12"/>
      <c r="I87" s="275"/>
    </row>
    <row r="88" spans="3:9">
      <c r="C88" s="12"/>
      <c r="D88" s="12"/>
      <c r="E88" s="12"/>
      <c r="I88" s="275"/>
    </row>
    <row r="89" spans="3:9">
      <c r="C89" s="12"/>
      <c r="D89" s="12"/>
      <c r="E89" s="12"/>
      <c r="I89" s="275"/>
    </row>
    <row r="90" spans="3:9">
      <c r="C90" s="12"/>
      <c r="D90" s="12"/>
      <c r="E90" s="12"/>
      <c r="I90" s="275"/>
    </row>
    <row r="91" spans="3:9">
      <c r="C91" s="12"/>
      <c r="D91" s="12"/>
      <c r="E91" s="12"/>
      <c r="I91" s="275"/>
    </row>
    <row r="92" spans="3:9">
      <c r="C92" s="12"/>
      <c r="D92" s="12"/>
      <c r="E92" s="12"/>
      <c r="I92" s="275"/>
    </row>
    <row r="93" spans="3:9">
      <c r="C93" s="12"/>
      <c r="D93" s="12"/>
      <c r="E93" s="12"/>
      <c r="I93" s="275"/>
    </row>
    <row r="94" spans="3:9">
      <c r="C94" s="12"/>
      <c r="D94" s="12"/>
      <c r="E94" s="12"/>
      <c r="I94" s="275"/>
    </row>
    <row r="95" spans="3:9">
      <c r="C95" s="12"/>
      <c r="D95" s="12"/>
      <c r="E95" s="12"/>
      <c r="I95" s="275"/>
    </row>
    <row r="96" spans="3:9">
      <c r="C96" s="12"/>
      <c r="D96" s="12"/>
      <c r="E96" s="12"/>
      <c r="I96" s="275"/>
    </row>
    <row r="97" spans="3:9">
      <c r="C97" s="12"/>
      <c r="D97" s="12"/>
      <c r="E97" s="12"/>
      <c r="I97" s="275"/>
    </row>
    <row r="98" spans="3:9">
      <c r="C98" s="12"/>
      <c r="D98" s="12"/>
      <c r="E98" s="12"/>
      <c r="I98" s="275"/>
    </row>
    <row r="99" spans="3:9">
      <c r="C99" s="12"/>
      <c r="D99" s="12"/>
      <c r="E99" s="12"/>
      <c r="I99" s="275"/>
    </row>
    <row r="100" spans="3:9">
      <c r="C100" s="12"/>
      <c r="D100" s="12"/>
      <c r="E100" s="12"/>
      <c r="I100" s="275"/>
    </row>
    <row r="101" spans="3:9">
      <c r="C101" s="12"/>
      <c r="D101" s="12"/>
      <c r="E101" s="12"/>
      <c r="I101" s="275"/>
    </row>
    <row r="102" spans="3:9">
      <c r="C102" s="12"/>
      <c r="D102" s="12"/>
      <c r="E102" s="12"/>
      <c r="I102" s="275"/>
    </row>
    <row r="103" spans="3:9">
      <c r="C103" s="12"/>
      <c r="D103" s="12"/>
      <c r="E103" s="12"/>
      <c r="I103" s="275"/>
    </row>
    <row r="104" spans="3:9">
      <c r="C104" s="12"/>
      <c r="D104" s="12"/>
      <c r="E104" s="12"/>
      <c r="I104" s="275"/>
    </row>
    <row r="105" spans="3:9">
      <c r="C105" s="12"/>
      <c r="D105" s="12"/>
      <c r="E105" s="12"/>
      <c r="I105" s="275"/>
    </row>
    <row r="106" spans="3:9">
      <c r="C106" s="12"/>
      <c r="D106" s="12"/>
      <c r="E106" s="12"/>
      <c r="I106" s="275"/>
    </row>
    <row r="107" spans="3:9">
      <c r="C107" s="12"/>
      <c r="D107" s="12"/>
      <c r="E107" s="12"/>
      <c r="I107" s="275"/>
    </row>
    <row r="108" spans="3:9">
      <c r="C108" s="12"/>
      <c r="D108" s="12"/>
      <c r="E108" s="12"/>
      <c r="I108" s="275"/>
    </row>
    <row r="109" spans="3:9">
      <c r="C109" s="12"/>
      <c r="D109" s="12"/>
      <c r="E109" s="12"/>
      <c r="I109" s="275"/>
    </row>
    <row r="110" spans="3:9">
      <c r="C110" s="12"/>
      <c r="D110" s="12"/>
      <c r="E110" s="12"/>
      <c r="I110" s="275"/>
    </row>
    <row r="111" spans="3:9">
      <c r="C111" s="12"/>
      <c r="D111" s="12"/>
      <c r="E111" s="12"/>
      <c r="I111" s="275"/>
    </row>
    <row r="112" spans="3:9">
      <c r="C112" s="12"/>
      <c r="D112" s="12"/>
      <c r="E112" s="12"/>
      <c r="I112" s="275"/>
    </row>
    <row r="113" spans="3:9">
      <c r="C113" s="12"/>
      <c r="D113" s="12"/>
      <c r="E113" s="12"/>
      <c r="I113" s="275"/>
    </row>
    <row r="114" spans="3:9">
      <c r="C114" s="12"/>
      <c r="D114" s="12"/>
      <c r="E114" s="12"/>
      <c r="I114" s="275"/>
    </row>
    <row r="115" spans="3:9">
      <c r="C115" s="12"/>
      <c r="D115" s="12"/>
      <c r="E115" s="12"/>
      <c r="I115" s="275"/>
    </row>
    <row r="116" spans="3:9">
      <c r="C116" s="12"/>
      <c r="D116" s="12"/>
      <c r="E116" s="12"/>
      <c r="I116" s="275"/>
    </row>
    <row r="117" spans="3:9">
      <c r="C117" s="12"/>
      <c r="D117" s="12"/>
      <c r="E117" s="12"/>
      <c r="I117" s="275"/>
    </row>
    <row r="118" spans="3:9">
      <c r="C118" s="12"/>
      <c r="D118" s="12"/>
      <c r="E118" s="12"/>
      <c r="I118" s="275"/>
    </row>
    <row r="119" spans="3:9">
      <c r="C119" s="12"/>
      <c r="D119" s="12"/>
      <c r="E119" s="12"/>
      <c r="I119" s="275"/>
    </row>
    <row r="120" spans="3:9">
      <c r="C120" s="12"/>
      <c r="D120" s="12"/>
      <c r="E120" s="12"/>
      <c r="I120" s="275"/>
    </row>
    <row r="121" spans="3:9">
      <c r="C121" s="12"/>
      <c r="D121" s="12"/>
      <c r="E121" s="12"/>
      <c r="I121" s="275"/>
    </row>
    <row r="122" spans="3:9">
      <c r="C122" s="12"/>
      <c r="D122" s="12"/>
      <c r="E122" s="12"/>
      <c r="I122" s="275"/>
    </row>
    <row r="123" spans="3:9">
      <c r="C123" s="12"/>
      <c r="D123" s="12"/>
      <c r="E123" s="12"/>
      <c r="I123" s="275"/>
    </row>
    <row r="124" spans="3:9">
      <c r="C124" s="12"/>
      <c r="D124" s="12"/>
      <c r="E124" s="12"/>
      <c r="I124" s="275"/>
    </row>
    <row r="125" spans="3:9">
      <c r="C125" s="12"/>
      <c r="D125" s="12"/>
      <c r="E125" s="12"/>
      <c r="I125" s="275"/>
    </row>
    <row r="126" spans="3:9">
      <c r="C126" s="12"/>
      <c r="D126" s="12"/>
      <c r="E126" s="12"/>
      <c r="I126" s="275"/>
    </row>
    <row r="127" spans="3:9">
      <c r="C127" s="12"/>
      <c r="D127" s="12"/>
      <c r="E127" s="12"/>
      <c r="I127" s="275"/>
    </row>
    <row r="128" spans="3:9">
      <c r="C128" s="12"/>
      <c r="D128" s="12"/>
      <c r="E128" s="12"/>
      <c r="I128" s="275"/>
    </row>
    <row r="129" spans="3:9">
      <c r="C129" s="12"/>
      <c r="D129" s="12"/>
      <c r="E129" s="12"/>
      <c r="I129" s="275"/>
    </row>
    <row r="130" spans="3:9">
      <c r="C130" s="12"/>
      <c r="D130" s="12"/>
      <c r="E130" s="12"/>
      <c r="I130" s="275"/>
    </row>
    <row r="131" spans="3:9">
      <c r="C131" s="12"/>
      <c r="D131" s="12"/>
      <c r="E131" s="12"/>
      <c r="I131" s="275"/>
    </row>
    <row r="132" spans="3:9">
      <c r="C132" s="12"/>
      <c r="D132" s="12"/>
      <c r="E132" s="12"/>
      <c r="I132" s="275"/>
    </row>
    <row r="133" spans="3:9">
      <c r="C133" s="12"/>
      <c r="D133" s="12"/>
      <c r="E133" s="12"/>
      <c r="I133" s="275"/>
    </row>
    <row r="134" spans="3:9">
      <c r="C134" s="12"/>
      <c r="D134" s="12"/>
      <c r="E134" s="12"/>
      <c r="I134" s="275"/>
    </row>
    <row r="135" spans="3:9">
      <c r="C135" s="12"/>
      <c r="D135" s="12"/>
      <c r="E135" s="12"/>
      <c r="I135" s="275"/>
    </row>
    <row r="136" spans="3:9">
      <c r="C136" s="12"/>
      <c r="D136" s="12"/>
      <c r="E136" s="12"/>
      <c r="I136" s="275"/>
    </row>
    <row r="137" spans="3:9">
      <c r="C137" s="12"/>
      <c r="D137" s="12"/>
      <c r="E137" s="12"/>
      <c r="I137" s="275"/>
    </row>
    <row r="138" spans="3:9">
      <c r="C138" s="12"/>
      <c r="D138" s="12"/>
      <c r="E138" s="12"/>
      <c r="I138" s="275"/>
    </row>
    <row r="139" spans="3:9">
      <c r="C139" s="12"/>
      <c r="D139" s="12"/>
      <c r="E139" s="12"/>
      <c r="I139" s="275"/>
    </row>
    <row r="140" spans="3:9">
      <c r="C140" s="12"/>
      <c r="D140" s="12"/>
      <c r="E140" s="12"/>
      <c r="I140" s="275"/>
    </row>
    <row r="141" spans="3:9">
      <c r="C141" s="12"/>
      <c r="D141" s="12"/>
      <c r="E141" s="12"/>
      <c r="I141" s="275"/>
    </row>
    <row r="142" spans="3:9">
      <c r="C142" s="12"/>
      <c r="D142" s="12"/>
      <c r="E142" s="12"/>
      <c r="I142" s="275"/>
    </row>
    <row r="143" spans="3:9">
      <c r="C143" s="12"/>
      <c r="D143" s="12"/>
      <c r="E143" s="12"/>
      <c r="I143" s="275"/>
    </row>
    <row r="144" spans="3:9">
      <c r="C144" s="12"/>
      <c r="D144" s="12"/>
      <c r="E144" s="12"/>
      <c r="I144" s="275"/>
    </row>
    <row r="145" spans="3:9">
      <c r="C145" s="12"/>
      <c r="D145" s="12"/>
      <c r="E145" s="12"/>
      <c r="I145" s="275"/>
    </row>
    <row r="146" spans="3:9">
      <c r="C146" s="12"/>
      <c r="D146" s="12"/>
      <c r="E146" s="12"/>
      <c r="I146" s="275"/>
    </row>
    <row r="147" spans="3:9">
      <c r="C147" s="12"/>
      <c r="D147" s="12"/>
      <c r="E147" s="12"/>
      <c r="I147" s="275"/>
    </row>
    <row r="148" spans="3:9">
      <c r="C148" s="12"/>
      <c r="D148" s="12"/>
      <c r="E148" s="12"/>
      <c r="I148" s="275"/>
    </row>
    <row r="149" spans="3:9">
      <c r="C149" s="12"/>
      <c r="D149" s="12"/>
      <c r="E149" s="12"/>
      <c r="I149" s="275"/>
    </row>
    <row r="150" spans="3:9">
      <c r="C150" s="12"/>
      <c r="D150" s="12"/>
      <c r="E150" s="12"/>
      <c r="I150" s="275"/>
    </row>
    <row r="151" spans="3:9">
      <c r="C151" s="12"/>
      <c r="D151" s="12"/>
      <c r="E151" s="12"/>
      <c r="I151" s="275"/>
    </row>
    <row r="152" spans="3:9">
      <c r="C152" s="12"/>
      <c r="D152" s="12"/>
      <c r="E152" s="12"/>
      <c r="I152" s="275"/>
    </row>
    <row r="153" spans="3:9">
      <c r="C153" s="12"/>
      <c r="D153" s="12"/>
      <c r="E153" s="12"/>
      <c r="I153" s="275"/>
    </row>
    <row r="154" spans="3:9">
      <c r="C154" s="12"/>
      <c r="D154" s="12"/>
      <c r="E154" s="12"/>
      <c r="I154" s="275"/>
    </row>
    <row r="155" spans="3:9">
      <c r="C155" s="12"/>
      <c r="D155" s="12"/>
      <c r="E155" s="12"/>
      <c r="I155" s="275"/>
    </row>
    <row r="156" spans="3:9">
      <c r="C156" s="12"/>
      <c r="D156" s="12"/>
      <c r="E156" s="12"/>
      <c r="I156" s="275"/>
    </row>
    <row r="157" spans="3:9">
      <c r="C157" s="12"/>
      <c r="D157" s="12"/>
      <c r="E157" s="12"/>
      <c r="I157" s="275"/>
    </row>
    <row r="158" spans="3:9">
      <c r="C158" s="12"/>
      <c r="D158" s="12"/>
      <c r="E158" s="12"/>
      <c r="I158" s="275"/>
    </row>
    <row r="159" spans="3:9">
      <c r="C159" s="12"/>
      <c r="D159" s="12"/>
      <c r="E159" s="12"/>
      <c r="I159" s="275"/>
    </row>
    <row r="160" spans="3:9">
      <c r="C160" s="12"/>
      <c r="D160" s="12"/>
      <c r="E160" s="12"/>
      <c r="I160" s="275"/>
    </row>
    <row r="161" spans="3:9">
      <c r="C161" s="12"/>
      <c r="D161" s="12"/>
      <c r="E161" s="12"/>
      <c r="I161" s="275"/>
    </row>
    <row r="162" spans="3:9">
      <c r="C162" s="12"/>
      <c r="D162" s="12"/>
      <c r="E162" s="12"/>
      <c r="I162" s="275"/>
    </row>
    <row r="163" spans="3:9">
      <c r="C163" s="12"/>
      <c r="D163" s="12"/>
      <c r="E163" s="12"/>
      <c r="I163" s="275"/>
    </row>
    <row r="164" spans="3:9">
      <c r="C164" s="12"/>
      <c r="D164" s="12"/>
      <c r="E164" s="12"/>
      <c r="I164" s="275"/>
    </row>
    <row r="165" spans="3:9">
      <c r="C165" s="12"/>
      <c r="D165" s="12"/>
      <c r="E165" s="12"/>
      <c r="I165" s="275"/>
    </row>
    <row r="166" spans="3:9">
      <c r="C166" s="12"/>
      <c r="D166" s="12"/>
      <c r="E166" s="12"/>
      <c r="I166" s="275"/>
    </row>
    <row r="167" spans="3:9">
      <c r="C167" s="12"/>
      <c r="D167" s="12"/>
      <c r="E167" s="12"/>
      <c r="I167" s="275"/>
    </row>
    <row r="168" spans="3:9">
      <c r="C168" s="12"/>
      <c r="D168" s="12"/>
      <c r="E168" s="12"/>
      <c r="I168" s="275"/>
    </row>
    <row r="169" spans="3:9">
      <c r="C169" s="12"/>
      <c r="D169" s="12"/>
      <c r="E169" s="12"/>
      <c r="I169" s="275"/>
    </row>
    <row r="170" spans="3:9">
      <c r="C170" s="12"/>
      <c r="D170" s="12"/>
      <c r="E170" s="12"/>
      <c r="I170" s="275"/>
    </row>
    <row r="171" spans="3:9">
      <c r="C171" s="12"/>
      <c r="D171" s="12"/>
      <c r="E171" s="12"/>
      <c r="I171" s="275"/>
    </row>
    <row r="172" spans="3:9">
      <c r="C172" s="12"/>
      <c r="D172" s="12"/>
      <c r="E172" s="12"/>
      <c r="I172" s="275"/>
    </row>
    <row r="173" spans="3:9">
      <c r="C173" s="12"/>
      <c r="D173" s="12"/>
      <c r="E173" s="12"/>
      <c r="I173" s="275"/>
    </row>
    <row r="174" spans="3:9">
      <c r="C174" s="12"/>
      <c r="D174" s="12"/>
      <c r="E174" s="12"/>
      <c r="I174" s="275"/>
    </row>
    <row r="175" spans="3:9">
      <c r="C175" s="12"/>
      <c r="D175" s="12"/>
      <c r="E175" s="12"/>
      <c r="I175" s="275"/>
    </row>
    <row r="176" spans="3:9">
      <c r="C176" s="12"/>
      <c r="D176" s="12"/>
      <c r="E176" s="12"/>
      <c r="I176" s="275"/>
    </row>
    <row r="177" spans="3:9">
      <c r="C177" s="12"/>
      <c r="D177" s="12"/>
      <c r="E177" s="12"/>
      <c r="I177" s="275"/>
    </row>
    <row r="178" spans="3:9">
      <c r="C178" s="12"/>
      <c r="D178" s="12"/>
      <c r="E178" s="12"/>
      <c r="I178" s="275"/>
    </row>
    <row r="179" spans="3:9">
      <c r="C179" s="12"/>
      <c r="D179" s="12"/>
      <c r="E179" s="12"/>
      <c r="I179" s="275"/>
    </row>
    <row r="180" spans="3:9">
      <c r="C180" s="12"/>
      <c r="D180" s="12"/>
      <c r="E180" s="12"/>
      <c r="I180" s="275"/>
    </row>
    <row r="181" spans="3:9">
      <c r="C181" s="12"/>
      <c r="D181" s="12"/>
      <c r="E181" s="12"/>
      <c r="I181" s="275"/>
    </row>
    <row r="182" spans="3:9">
      <c r="C182" s="12"/>
      <c r="D182" s="12"/>
      <c r="E182" s="12"/>
      <c r="I182" s="275"/>
    </row>
    <row r="183" spans="3:9">
      <c r="C183" s="12"/>
      <c r="D183" s="12"/>
      <c r="E183" s="12"/>
      <c r="I183" s="275"/>
    </row>
    <row r="184" spans="3:9">
      <c r="C184" s="12"/>
      <c r="D184" s="12"/>
      <c r="E184" s="12"/>
      <c r="I184" s="275"/>
    </row>
    <row r="185" spans="3:9">
      <c r="C185" s="12"/>
      <c r="D185" s="12"/>
      <c r="E185" s="12"/>
      <c r="I185" s="275"/>
    </row>
    <row r="186" spans="3:9">
      <c r="C186" s="12"/>
      <c r="D186" s="12"/>
      <c r="E186" s="12"/>
      <c r="I186" s="275"/>
    </row>
    <row r="187" spans="3:9">
      <c r="C187" s="12"/>
      <c r="D187" s="12"/>
      <c r="E187" s="12"/>
      <c r="I187" s="275"/>
    </row>
    <row r="188" spans="3:9">
      <c r="C188" s="12"/>
      <c r="D188" s="12"/>
      <c r="E188" s="12"/>
      <c r="I188" s="275"/>
    </row>
    <row r="189" spans="3:9">
      <c r="C189" s="12"/>
      <c r="D189" s="12"/>
      <c r="E189" s="12"/>
      <c r="I189" s="275"/>
    </row>
    <row r="190" spans="3:9">
      <c r="C190" s="12"/>
      <c r="D190" s="12"/>
      <c r="E190" s="12"/>
      <c r="I190" s="275"/>
    </row>
    <row r="191" spans="3:9">
      <c r="C191" s="12"/>
      <c r="D191" s="12"/>
      <c r="E191" s="12"/>
      <c r="I191" s="275"/>
    </row>
    <row r="192" spans="3:9">
      <c r="C192" s="12"/>
      <c r="D192" s="12"/>
      <c r="E192" s="12"/>
      <c r="I192" s="275"/>
    </row>
    <row r="193" spans="3:9">
      <c r="C193" s="12"/>
      <c r="D193" s="12"/>
      <c r="E193" s="12"/>
      <c r="I193" s="275"/>
    </row>
    <row r="194" spans="3:9">
      <c r="C194" s="12"/>
      <c r="D194" s="12"/>
      <c r="E194" s="12"/>
      <c r="I194" s="275"/>
    </row>
    <row r="195" spans="3:9">
      <c r="C195" s="12"/>
      <c r="D195" s="12"/>
      <c r="E195" s="12"/>
      <c r="I195" s="275"/>
    </row>
    <row r="196" spans="3:9">
      <c r="C196" s="12"/>
      <c r="D196" s="12"/>
      <c r="E196" s="12"/>
      <c r="I196" s="275"/>
    </row>
    <row r="197" spans="3:9">
      <c r="C197" s="12"/>
      <c r="D197" s="12"/>
      <c r="E197" s="12"/>
      <c r="I197" s="275"/>
    </row>
    <row r="198" spans="3:9">
      <c r="C198" s="12"/>
      <c r="D198" s="12"/>
      <c r="E198" s="12"/>
      <c r="I198" s="275"/>
    </row>
    <row r="199" spans="3:9">
      <c r="C199" s="12"/>
      <c r="D199" s="12"/>
      <c r="E199" s="12"/>
      <c r="I199" s="275"/>
    </row>
    <row r="200" spans="3:9">
      <c r="C200" s="12"/>
      <c r="D200" s="12"/>
      <c r="E200" s="12"/>
      <c r="I200" s="275"/>
    </row>
    <row r="201" spans="3:9">
      <c r="C201" s="12"/>
      <c r="D201" s="12"/>
      <c r="E201" s="12"/>
      <c r="I201" s="275"/>
    </row>
    <row r="202" spans="3:9">
      <c r="C202" s="12"/>
      <c r="D202" s="12"/>
      <c r="E202" s="12"/>
      <c r="I202" s="275"/>
    </row>
    <row r="203" spans="3:9">
      <c r="C203" s="12"/>
      <c r="D203" s="12"/>
      <c r="E203" s="12"/>
      <c r="I203" s="275"/>
    </row>
    <row r="204" spans="3:9">
      <c r="C204" s="12"/>
      <c r="D204" s="12"/>
      <c r="E204" s="12"/>
      <c r="I204" s="275"/>
    </row>
    <row r="205" spans="3:9">
      <c r="C205" s="12"/>
      <c r="D205" s="12"/>
      <c r="E205" s="12"/>
      <c r="I205" s="275"/>
    </row>
    <row r="206" spans="3:9">
      <c r="C206" s="12"/>
      <c r="D206" s="12"/>
      <c r="E206" s="12"/>
      <c r="I206" s="275"/>
    </row>
    <row r="207" spans="3:9">
      <c r="C207" s="12"/>
      <c r="D207" s="12"/>
      <c r="E207" s="12"/>
      <c r="I207" s="275"/>
    </row>
    <row r="208" spans="3:9">
      <c r="C208" s="12"/>
      <c r="D208" s="12"/>
      <c r="E208" s="12"/>
      <c r="I208" s="275"/>
    </row>
    <row r="209" spans="3:9">
      <c r="C209" s="12"/>
      <c r="D209" s="12"/>
      <c r="E209" s="12"/>
      <c r="I209" s="275"/>
    </row>
    <row r="210" spans="3:9">
      <c r="C210" s="12"/>
      <c r="D210" s="12"/>
      <c r="E210" s="12"/>
      <c r="I210" s="275"/>
    </row>
    <row r="211" spans="3:9">
      <c r="C211" s="12"/>
      <c r="D211" s="12"/>
      <c r="E211" s="12"/>
      <c r="I211" s="275"/>
    </row>
    <row r="212" spans="3:9">
      <c r="C212" s="12"/>
      <c r="D212" s="12"/>
      <c r="E212" s="12"/>
      <c r="I212" s="275"/>
    </row>
    <row r="213" spans="3:9">
      <c r="C213" s="12"/>
      <c r="D213" s="12"/>
      <c r="E213" s="12"/>
      <c r="I213" s="275"/>
    </row>
    <row r="214" spans="3:9">
      <c r="C214" s="12"/>
      <c r="D214" s="12"/>
      <c r="E214" s="12"/>
      <c r="I214" s="275"/>
    </row>
    <row r="215" spans="3:9">
      <c r="C215" s="12"/>
      <c r="D215" s="12"/>
      <c r="E215" s="12"/>
      <c r="I215" s="275"/>
    </row>
    <row r="216" spans="3:9">
      <c r="C216" s="12"/>
      <c r="D216" s="12"/>
      <c r="E216" s="12"/>
      <c r="I216" s="275"/>
    </row>
    <row r="217" spans="3:9">
      <c r="C217" s="12"/>
      <c r="D217" s="12"/>
      <c r="E217" s="12"/>
      <c r="I217" s="275"/>
    </row>
    <row r="218" spans="3:9">
      <c r="C218" s="12"/>
      <c r="D218" s="12"/>
      <c r="E218" s="12"/>
      <c r="I218" s="275"/>
    </row>
    <row r="219" spans="3:9">
      <c r="C219" s="12"/>
      <c r="D219" s="12"/>
      <c r="E219" s="12"/>
      <c r="I219" s="275"/>
    </row>
    <row r="220" spans="3:9">
      <c r="C220" s="12"/>
      <c r="D220" s="12"/>
      <c r="E220" s="12"/>
      <c r="I220" s="275"/>
    </row>
    <row r="221" spans="3:9">
      <c r="C221" s="12"/>
      <c r="D221" s="12"/>
      <c r="E221" s="12"/>
      <c r="I221" s="275"/>
    </row>
    <row r="222" spans="3:9">
      <c r="C222" s="12"/>
      <c r="D222" s="12"/>
      <c r="E222" s="12"/>
      <c r="I222" s="275"/>
    </row>
    <row r="223" spans="3:9">
      <c r="C223" s="12"/>
      <c r="D223" s="12"/>
      <c r="E223" s="12"/>
      <c r="I223" s="275"/>
    </row>
    <row r="224" spans="3:9">
      <c r="C224" s="12"/>
      <c r="D224" s="12"/>
      <c r="E224" s="12"/>
      <c r="I224" s="275"/>
    </row>
    <row r="225" spans="3:9">
      <c r="C225" s="12"/>
      <c r="D225" s="12"/>
      <c r="E225" s="12"/>
      <c r="I225" s="275"/>
    </row>
    <row r="226" spans="3:9">
      <c r="C226" s="12"/>
      <c r="D226" s="12"/>
      <c r="E226" s="12"/>
      <c r="I226" s="275"/>
    </row>
    <row r="227" spans="3:9">
      <c r="C227" s="12"/>
      <c r="D227" s="12"/>
      <c r="E227" s="12"/>
      <c r="I227" s="275"/>
    </row>
    <row r="228" spans="3:9">
      <c r="C228" s="12"/>
      <c r="D228" s="12"/>
      <c r="E228" s="12"/>
      <c r="I228" s="275"/>
    </row>
    <row r="229" spans="3:9">
      <c r="C229" s="12"/>
      <c r="D229" s="12"/>
      <c r="E229" s="12"/>
      <c r="I229" s="275"/>
    </row>
    <row r="230" spans="3:9">
      <c r="C230" s="12"/>
      <c r="D230" s="12"/>
      <c r="E230" s="12"/>
      <c r="I230" s="275"/>
    </row>
    <row r="231" spans="3:9">
      <c r="C231" s="12"/>
      <c r="D231" s="12"/>
      <c r="E231" s="12"/>
      <c r="I231" s="275"/>
    </row>
    <row r="232" spans="3:9">
      <c r="C232" s="12"/>
      <c r="D232" s="12"/>
      <c r="E232" s="12"/>
      <c r="I232" s="275"/>
    </row>
    <row r="233" spans="3:9">
      <c r="C233" s="12"/>
      <c r="D233" s="12"/>
      <c r="E233" s="12"/>
      <c r="I233" s="275"/>
    </row>
    <row r="234" spans="3:9">
      <c r="C234" s="12"/>
      <c r="D234" s="12"/>
      <c r="E234" s="12"/>
      <c r="I234" s="275"/>
    </row>
    <row r="235" spans="3:9">
      <c r="C235" s="12"/>
      <c r="D235" s="12"/>
      <c r="E235" s="12"/>
      <c r="I235" s="275"/>
    </row>
    <row r="236" spans="3:9">
      <c r="C236" s="12"/>
      <c r="D236" s="12"/>
      <c r="E236" s="12"/>
      <c r="I236" s="275"/>
    </row>
    <row r="237" spans="3:9">
      <c r="C237" s="12"/>
      <c r="D237" s="12"/>
      <c r="E237" s="12"/>
      <c r="I237" s="275"/>
    </row>
    <row r="238" spans="3:9">
      <c r="C238" s="12"/>
      <c r="D238" s="12"/>
      <c r="E238" s="12"/>
      <c r="I238" s="275"/>
    </row>
    <row r="239" spans="3:9">
      <c r="C239" s="12"/>
      <c r="D239" s="12"/>
      <c r="E239" s="12"/>
      <c r="I239" s="275"/>
    </row>
    <row r="240" spans="3:9">
      <c r="C240" s="12"/>
      <c r="D240" s="12"/>
      <c r="E240" s="12"/>
      <c r="I240" s="275"/>
    </row>
    <row r="241" spans="3:9">
      <c r="C241" s="12"/>
      <c r="D241" s="12"/>
      <c r="E241" s="12"/>
      <c r="I241" s="275"/>
    </row>
    <row r="242" spans="3:9">
      <c r="C242" s="12"/>
      <c r="D242" s="12"/>
      <c r="E242" s="12"/>
      <c r="I242" s="275"/>
    </row>
    <row r="243" spans="3:9">
      <c r="C243" s="12"/>
      <c r="D243" s="12"/>
      <c r="E243" s="12"/>
      <c r="I243" s="275"/>
    </row>
    <row r="244" spans="3:9">
      <c r="C244" s="12"/>
      <c r="D244" s="12"/>
      <c r="E244" s="12"/>
      <c r="I244" s="275"/>
    </row>
    <row r="245" spans="3:9">
      <c r="C245" s="12"/>
      <c r="D245" s="12"/>
      <c r="E245" s="12"/>
      <c r="I245" s="275"/>
    </row>
    <row r="246" spans="3:9">
      <c r="C246" s="12"/>
      <c r="D246" s="12"/>
      <c r="E246" s="12"/>
      <c r="I246" s="275"/>
    </row>
    <row r="247" spans="3:9">
      <c r="C247" s="12"/>
      <c r="D247" s="12"/>
      <c r="E247" s="12"/>
      <c r="I247" s="275"/>
    </row>
    <row r="248" spans="3:9">
      <c r="C248" s="12"/>
      <c r="D248" s="12"/>
      <c r="E248" s="12"/>
      <c r="I248" s="275"/>
    </row>
    <row r="249" spans="3:9">
      <c r="C249" s="12"/>
      <c r="D249" s="12"/>
      <c r="E249" s="12"/>
      <c r="I249" s="275"/>
    </row>
    <row r="250" spans="3:9">
      <c r="C250" s="12"/>
      <c r="D250" s="12"/>
      <c r="E250" s="12"/>
      <c r="I250" s="275"/>
    </row>
    <row r="251" spans="3:9">
      <c r="C251" s="12"/>
      <c r="D251" s="12"/>
      <c r="E251" s="12"/>
      <c r="I251" s="275"/>
    </row>
    <row r="252" spans="3:9">
      <c r="C252" s="12"/>
      <c r="D252" s="12"/>
      <c r="E252" s="12"/>
      <c r="I252" s="275"/>
    </row>
    <row r="253" spans="3:9">
      <c r="C253" s="12"/>
      <c r="D253" s="12"/>
      <c r="E253" s="12"/>
      <c r="I253" s="275"/>
    </row>
    <row r="254" spans="3:9">
      <c r="C254" s="12"/>
      <c r="D254" s="12"/>
      <c r="E254" s="12"/>
      <c r="I254" s="275"/>
    </row>
    <row r="255" spans="3:9">
      <c r="C255" s="12"/>
      <c r="D255" s="12"/>
      <c r="E255" s="12"/>
      <c r="I255" s="275"/>
    </row>
    <row r="256" spans="3:9">
      <c r="C256" s="12"/>
      <c r="D256" s="12"/>
      <c r="E256" s="12"/>
      <c r="I256" s="275"/>
    </row>
    <row r="257" spans="3:9">
      <c r="C257" s="12"/>
      <c r="D257" s="12"/>
      <c r="E257" s="12"/>
      <c r="I257" s="275"/>
    </row>
    <row r="258" spans="3:9">
      <c r="C258" s="12"/>
      <c r="D258" s="12"/>
      <c r="E258" s="12"/>
      <c r="I258" s="275"/>
    </row>
    <row r="259" spans="3:9">
      <c r="C259" s="12"/>
      <c r="D259" s="12"/>
      <c r="E259" s="12"/>
      <c r="I259" s="275"/>
    </row>
    <row r="260" spans="3:9">
      <c r="C260" s="12"/>
      <c r="D260" s="12"/>
      <c r="E260" s="12"/>
      <c r="I260" s="275"/>
    </row>
    <row r="261" spans="3:9">
      <c r="C261" s="12"/>
      <c r="D261" s="12"/>
      <c r="E261" s="12"/>
      <c r="I261" s="275"/>
    </row>
    <row r="262" spans="3:9">
      <c r="C262" s="12"/>
      <c r="D262" s="12"/>
      <c r="E262" s="12"/>
      <c r="I262" s="275"/>
    </row>
    <row r="263" spans="3:9">
      <c r="C263" s="12"/>
      <c r="D263" s="12"/>
      <c r="E263" s="12"/>
      <c r="I263" s="275"/>
    </row>
    <row r="264" spans="3:9">
      <c r="C264" s="12"/>
      <c r="D264" s="12"/>
      <c r="E264" s="12"/>
      <c r="I264" s="275"/>
    </row>
    <row r="265" spans="3:9">
      <c r="C265" s="12"/>
      <c r="D265" s="12"/>
      <c r="E265" s="12"/>
      <c r="I265" s="275"/>
    </row>
    <row r="266" spans="3:9">
      <c r="C266" s="12"/>
      <c r="D266" s="12"/>
      <c r="E266" s="12"/>
      <c r="I266" s="275"/>
    </row>
    <row r="267" spans="3:9">
      <c r="C267" s="12"/>
      <c r="D267" s="12"/>
      <c r="E267" s="12"/>
      <c r="I267" s="275"/>
    </row>
    <row r="268" spans="3:9">
      <c r="C268" s="12"/>
      <c r="D268" s="12"/>
      <c r="E268" s="12"/>
      <c r="I268" s="275"/>
    </row>
    <row r="269" spans="3:9">
      <c r="C269" s="12"/>
      <c r="D269" s="12"/>
      <c r="E269" s="12"/>
      <c r="I269" s="275"/>
    </row>
    <row r="270" spans="3:9">
      <c r="C270" s="12"/>
      <c r="D270" s="12"/>
      <c r="E270" s="12"/>
      <c r="I270" s="275"/>
    </row>
    <row r="271" spans="3:9">
      <c r="C271" s="12"/>
      <c r="D271" s="12"/>
      <c r="E271" s="12"/>
      <c r="I271" s="275"/>
    </row>
    <row r="272" spans="3:9">
      <c r="C272" s="12"/>
      <c r="D272" s="12"/>
      <c r="E272" s="12"/>
      <c r="I272" s="275"/>
    </row>
    <row r="273" spans="3:9">
      <c r="C273" s="12"/>
      <c r="D273" s="12"/>
      <c r="E273" s="12"/>
      <c r="I273" s="275"/>
    </row>
    <row r="274" spans="3:9">
      <c r="C274" s="12"/>
      <c r="D274" s="12"/>
      <c r="E274" s="12"/>
      <c r="I274" s="275"/>
    </row>
    <row r="275" spans="3:9">
      <c r="C275" s="12"/>
      <c r="D275" s="12"/>
      <c r="E275" s="12"/>
      <c r="I275" s="275"/>
    </row>
    <row r="276" spans="3:9">
      <c r="C276" s="12"/>
      <c r="D276" s="12"/>
      <c r="E276" s="12"/>
      <c r="I276" s="275"/>
    </row>
    <row r="277" spans="3:9">
      <c r="C277" s="12"/>
      <c r="D277" s="12"/>
      <c r="E277" s="12"/>
      <c r="I277" s="275"/>
    </row>
    <row r="278" spans="3:9">
      <c r="C278" s="12"/>
      <c r="D278" s="12"/>
      <c r="E278" s="12"/>
      <c r="I278" s="275"/>
    </row>
    <row r="279" spans="3:9">
      <c r="C279" s="12"/>
      <c r="D279" s="12"/>
      <c r="E279" s="12"/>
      <c r="I279" s="275"/>
    </row>
    <row r="280" spans="3:9">
      <c r="C280" s="12"/>
      <c r="D280" s="12"/>
      <c r="E280" s="12"/>
      <c r="I280" s="275"/>
    </row>
    <row r="281" spans="3:9">
      <c r="C281" s="12"/>
      <c r="D281" s="12"/>
      <c r="E281" s="12"/>
      <c r="I281" s="275"/>
    </row>
    <row r="282" spans="3:9">
      <c r="C282" s="12"/>
      <c r="D282" s="12"/>
      <c r="E282" s="12"/>
      <c r="I282" s="275"/>
    </row>
    <row r="283" spans="3:9">
      <c r="C283" s="12"/>
      <c r="D283" s="12"/>
      <c r="E283" s="12"/>
      <c r="I283" s="275"/>
    </row>
    <row r="284" spans="3:9">
      <c r="C284" s="12"/>
      <c r="D284" s="12"/>
      <c r="E284" s="12"/>
      <c r="I284" s="275"/>
    </row>
    <row r="285" spans="3:9">
      <c r="C285" s="12"/>
      <c r="D285" s="12"/>
      <c r="E285" s="12"/>
      <c r="I285" s="275"/>
    </row>
    <row r="286" spans="3:9">
      <c r="C286" s="12"/>
      <c r="D286" s="12"/>
      <c r="E286" s="12"/>
      <c r="I286" s="275"/>
    </row>
    <row r="287" spans="3:9">
      <c r="C287" s="12"/>
      <c r="D287" s="12"/>
      <c r="E287" s="12"/>
      <c r="I287" s="275"/>
    </row>
    <row r="288" spans="3:9">
      <c r="C288" s="12"/>
      <c r="D288" s="12"/>
      <c r="E288" s="12"/>
      <c r="I288" s="275"/>
    </row>
    <row r="289" spans="3:9">
      <c r="C289" s="12"/>
      <c r="D289" s="12"/>
      <c r="E289" s="12"/>
      <c r="I289" s="275"/>
    </row>
    <row r="290" spans="3:9">
      <c r="C290" s="12"/>
      <c r="D290" s="12"/>
      <c r="E290" s="12"/>
      <c r="I290" s="275"/>
    </row>
    <row r="291" spans="3:9">
      <c r="C291" s="12"/>
      <c r="D291" s="12"/>
      <c r="E291" s="12"/>
      <c r="I291" s="275"/>
    </row>
    <row r="292" spans="3:9">
      <c r="C292" s="12"/>
      <c r="D292" s="12"/>
      <c r="E292" s="12"/>
      <c r="I292" s="275"/>
    </row>
    <row r="293" spans="3:9">
      <c r="C293" s="12"/>
      <c r="D293" s="12"/>
      <c r="E293" s="12"/>
      <c r="I293" s="275"/>
    </row>
    <row r="294" spans="3:9">
      <c r="C294" s="12"/>
      <c r="D294" s="12"/>
      <c r="E294" s="12"/>
      <c r="I294" s="275"/>
    </row>
    <row r="295" spans="3:9">
      <c r="C295" s="12"/>
      <c r="D295" s="12"/>
      <c r="E295" s="12"/>
      <c r="I295" s="275"/>
    </row>
    <row r="296" spans="3:9">
      <c r="C296" s="12"/>
      <c r="D296" s="12"/>
      <c r="E296" s="12"/>
      <c r="I296" s="275"/>
    </row>
    <row r="297" spans="3:9">
      <c r="C297" s="12"/>
      <c r="D297" s="12"/>
      <c r="E297" s="12"/>
      <c r="I297" s="275"/>
    </row>
    <row r="298" spans="3:9">
      <c r="C298" s="12"/>
      <c r="D298" s="12"/>
      <c r="E298" s="12"/>
      <c r="I298" s="275"/>
    </row>
    <row r="299" spans="3:9">
      <c r="C299" s="12"/>
      <c r="D299" s="12"/>
      <c r="E299" s="12"/>
      <c r="I299" s="275"/>
    </row>
    <row r="300" spans="3:9">
      <c r="C300" s="12"/>
      <c r="D300" s="12"/>
      <c r="E300" s="12"/>
      <c r="I300" s="275"/>
    </row>
    <row r="301" spans="3:9">
      <c r="C301" s="12"/>
      <c r="D301" s="12"/>
      <c r="E301" s="12"/>
      <c r="I301" s="275"/>
    </row>
    <row r="302" spans="3:9">
      <c r="C302" s="12"/>
      <c r="D302" s="12"/>
      <c r="E302" s="12"/>
      <c r="I302" s="275"/>
    </row>
    <row r="303" spans="3:9">
      <c r="C303" s="12"/>
      <c r="D303" s="12"/>
      <c r="E303" s="12"/>
      <c r="I303" s="275"/>
    </row>
    <row r="304" spans="3:9">
      <c r="C304" s="12"/>
      <c r="D304" s="12"/>
      <c r="E304" s="12"/>
      <c r="I304" s="275"/>
    </row>
    <row r="305" spans="3:9">
      <c r="C305" s="12"/>
      <c r="D305" s="12"/>
      <c r="E305" s="12"/>
      <c r="I305" s="275"/>
    </row>
    <row r="306" spans="3:9">
      <c r="C306" s="12"/>
      <c r="D306" s="12"/>
      <c r="E306" s="12"/>
      <c r="I306" s="275"/>
    </row>
    <row r="307" spans="3:9">
      <c r="C307" s="12"/>
      <c r="D307" s="12"/>
      <c r="E307" s="12"/>
      <c r="I307" s="275"/>
    </row>
    <row r="308" spans="3:9">
      <c r="C308" s="12"/>
      <c r="D308" s="12"/>
      <c r="E308" s="12"/>
      <c r="I308" s="275"/>
    </row>
    <row r="309" spans="3:9">
      <c r="C309" s="12"/>
      <c r="D309" s="12"/>
      <c r="E309" s="12"/>
      <c r="I309" s="275"/>
    </row>
    <row r="310" spans="3:9">
      <c r="C310" s="12"/>
      <c r="D310" s="12"/>
      <c r="E310" s="12"/>
      <c r="I310" s="275"/>
    </row>
    <row r="311" spans="3:9">
      <c r="C311" s="12"/>
      <c r="D311" s="12"/>
      <c r="E311" s="12"/>
      <c r="I311" s="275"/>
    </row>
    <row r="312" spans="3:9">
      <c r="C312" s="12"/>
      <c r="D312" s="12"/>
      <c r="E312" s="12"/>
      <c r="I312" s="275"/>
    </row>
    <row r="313" spans="3:9">
      <c r="C313" s="12"/>
      <c r="D313" s="12"/>
      <c r="E313" s="12"/>
      <c r="I313" s="275"/>
    </row>
    <row r="314" spans="3:9">
      <c r="C314" s="12"/>
      <c r="D314" s="12"/>
      <c r="E314" s="12"/>
      <c r="I314" s="275"/>
    </row>
    <row r="315" spans="3:9">
      <c r="C315" s="12"/>
      <c r="D315" s="12"/>
      <c r="E315" s="12"/>
      <c r="I315" s="275"/>
    </row>
    <row r="316" spans="3:9">
      <c r="C316" s="12"/>
      <c r="D316" s="12"/>
      <c r="E316" s="12"/>
      <c r="I316" s="275"/>
    </row>
    <row r="317" spans="3:9">
      <c r="C317" s="12"/>
      <c r="D317" s="12"/>
      <c r="E317" s="12"/>
      <c r="I317" s="275"/>
    </row>
    <row r="318" spans="3:9">
      <c r="C318" s="12"/>
      <c r="D318" s="12"/>
      <c r="E318" s="12"/>
      <c r="I318" s="275"/>
    </row>
    <row r="319" spans="3:9">
      <c r="C319" s="12"/>
      <c r="D319" s="12"/>
      <c r="E319" s="12"/>
      <c r="I319" s="275"/>
    </row>
    <row r="320" spans="3:9">
      <c r="C320" s="12"/>
      <c r="D320" s="12"/>
      <c r="E320" s="12"/>
      <c r="I320" s="275"/>
    </row>
    <row r="321" spans="3:9">
      <c r="C321" s="12"/>
      <c r="D321" s="12"/>
      <c r="E321" s="12"/>
      <c r="I321" s="275"/>
    </row>
    <row r="322" spans="3:9">
      <c r="C322" s="12"/>
      <c r="D322" s="12"/>
      <c r="E322" s="12"/>
      <c r="I322" s="275"/>
    </row>
    <row r="323" spans="3:9">
      <c r="C323" s="12"/>
      <c r="D323" s="12"/>
      <c r="E323" s="12"/>
      <c r="I323" s="275"/>
    </row>
    <row r="324" spans="3:9">
      <c r="C324" s="12"/>
      <c r="D324" s="12"/>
      <c r="E324" s="12"/>
      <c r="I324" s="275"/>
    </row>
    <row r="325" spans="3:9">
      <c r="C325" s="12"/>
      <c r="D325" s="12"/>
      <c r="E325" s="12"/>
      <c r="I325" s="275"/>
    </row>
    <row r="326" spans="3:9">
      <c r="C326" s="12"/>
      <c r="D326" s="12"/>
      <c r="E326" s="12"/>
      <c r="I326" s="275"/>
    </row>
    <row r="327" spans="3:9">
      <c r="C327" s="12"/>
      <c r="D327" s="12"/>
      <c r="E327" s="12"/>
      <c r="I327" s="275"/>
    </row>
    <row r="328" spans="3:9">
      <c r="C328" s="12"/>
      <c r="D328" s="12"/>
      <c r="E328" s="12"/>
      <c r="I328" s="275"/>
    </row>
    <row r="329" spans="3:9">
      <c r="C329" s="12"/>
      <c r="D329" s="12"/>
      <c r="E329" s="12"/>
      <c r="I329" s="275"/>
    </row>
    <row r="330" spans="3:9">
      <c r="C330" s="12"/>
      <c r="D330" s="12"/>
      <c r="E330" s="12"/>
      <c r="I330" s="275"/>
    </row>
    <row r="331" spans="3:9">
      <c r="C331" s="12"/>
      <c r="D331" s="12"/>
      <c r="E331" s="12"/>
      <c r="I331" s="275"/>
    </row>
    <row r="332" spans="3:9">
      <c r="C332" s="12"/>
      <c r="D332" s="12"/>
      <c r="E332" s="12"/>
      <c r="I332" s="275"/>
    </row>
    <row r="333" spans="3:9">
      <c r="C333" s="12"/>
      <c r="D333" s="12"/>
      <c r="E333" s="12"/>
      <c r="I333" s="275"/>
    </row>
    <row r="334" spans="3:9">
      <c r="C334" s="12"/>
      <c r="D334" s="12"/>
      <c r="E334" s="12"/>
      <c r="I334" s="275"/>
    </row>
    <row r="335" spans="3:9">
      <c r="C335" s="12"/>
      <c r="D335" s="12"/>
      <c r="E335" s="12"/>
      <c r="I335" s="275"/>
    </row>
    <row r="336" spans="3:9">
      <c r="C336" s="12"/>
      <c r="D336" s="12"/>
      <c r="E336" s="12"/>
      <c r="I336" s="275"/>
    </row>
    <row r="337" spans="3:9">
      <c r="C337" s="12"/>
      <c r="D337" s="12"/>
      <c r="E337" s="12"/>
      <c r="I337" s="275"/>
    </row>
    <row r="338" spans="3:9">
      <c r="C338" s="12"/>
      <c r="D338" s="12"/>
      <c r="E338" s="12"/>
      <c r="I338" s="275"/>
    </row>
    <row r="339" spans="3:9">
      <c r="C339" s="12"/>
      <c r="D339" s="12"/>
      <c r="E339" s="12"/>
      <c r="I339" s="275"/>
    </row>
    <row r="340" spans="3:9">
      <c r="C340" s="12"/>
      <c r="D340" s="12"/>
      <c r="E340" s="12"/>
      <c r="I340" s="275"/>
    </row>
    <row r="341" spans="3:9">
      <c r="C341" s="12"/>
      <c r="D341" s="12"/>
      <c r="E341" s="12"/>
      <c r="I341" s="275"/>
    </row>
    <row r="342" spans="3:9">
      <c r="C342" s="12"/>
      <c r="D342" s="12"/>
      <c r="E342" s="12"/>
      <c r="I342" s="275"/>
    </row>
    <row r="343" spans="3:9">
      <c r="C343" s="12"/>
      <c r="D343" s="12"/>
      <c r="E343" s="12"/>
      <c r="I343" s="275"/>
    </row>
    <row r="344" spans="3:9">
      <c r="C344" s="12"/>
      <c r="D344" s="12"/>
      <c r="E344" s="12"/>
      <c r="I344" s="275"/>
    </row>
    <row r="345" spans="3:9">
      <c r="C345" s="12"/>
      <c r="D345" s="12"/>
      <c r="E345" s="12"/>
      <c r="I345" s="275"/>
    </row>
    <row r="346" spans="3:9">
      <c r="C346" s="12"/>
      <c r="D346" s="12"/>
      <c r="E346" s="12"/>
      <c r="I346" s="275"/>
    </row>
    <row r="347" spans="3:9">
      <c r="C347" s="12"/>
      <c r="D347" s="12"/>
      <c r="E347" s="12"/>
      <c r="I347" s="275"/>
    </row>
    <row r="348" spans="3:9">
      <c r="C348" s="12"/>
      <c r="D348" s="12"/>
      <c r="E348" s="12"/>
      <c r="I348" s="275"/>
    </row>
    <row r="349" spans="3:9">
      <c r="C349" s="12"/>
      <c r="D349" s="12"/>
      <c r="E349" s="12"/>
      <c r="I349" s="275"/>
    </row>
    <row r="350" spans="3:9">
      <c r="C350" s="12"/>
      <c r="D350" s="12"/>
      <c r="E350" s="12"/>
      <c r="I350" s="275"/>
    </row>
    <row r="351" spans="3:9">
      <c r="C351" s="12"/>
      <c r="D351" s="12"/>
      <c r="E351" s="12"/>
      <c r="I351" s="275"/>
    </row>
    <row r="352" spans="3:9">
      <c r="C352" s="12"/>
      <c r="D352" s="12"/>
      <c r="E352" s="12"/>
      <c r="I352" s="275"/>
    </row>
    <row r="353" spans="3:9">
      <c r="C353" s="12"/>
      <c r="D353" s="12"/>
      <c r="E353" s="12"/>
      <c r="I353" s="275"/>
    </row>
    <row r="354" spans="3:9">
      <c r="C354" s="12"/>
      <c r="D354" s="12"/>
      <c r="E354" s="12"/>
      <c r="I354" s="275"/>
    </row>
    <row r="355" spans="3:9">
      <c r="C355" s="12"/>
      <c r="D355" s="12"/>
      <c r="E355" s="12"/>
      <c r="I355" s="275"/>
    </row>
    <row r="356" spans="3:9">
      <c r="C356" s="12"/>
      <c r="D356" s="12"/>
      <c r="E356" s="12"/>
      <c r="I356" s="275"/>
    </row>
    <row r="357" spans="3:9">
      <c r="C357" s="12"/>
      <c r="D357" s="12"/>
      <c r="E357" s="12"/>
      <c r="I357" s="275"/>
    </row>
    <row r="358" spans="3:9">
      <c r="C358" s="12"/>
      <c r="D358" s="12"/>
      <c r="E358" s="12"/>
      <c r="I358" s="275"/>
    </row>
    <row r="359" spans="3:9">
      <c r="C359" s="12"/>
      <c r="D359" s="12"/>
      <c r="E359" s="12"/>
      <c r="I359" s="275"/>
    </row>
    <row r="360" spans="3:9">
      <c r="C360" s="12"/>
      <c r="D360" s="12"/>
      <c r="E360" s="12"/>
      <c r="I360" s="275"/>
    </row>
    <row r="361" spans="3:9">
      <c r="C361" s="12"/>
      <c r="D361" s="12"/>
      <c r="E361" s="12"/>
      <c r="I361" s="275"/>
    </row>
    <row r="362" spans="3:9">
      <c r="C362" s="12"/>
      <c r="D362" s="12"/>
      <c r="E362" s="12"/>
      <c r="I362" s="275"/>
    </row>
    <row r="363" spans="3:9">
      <c r="C363" s="12"/>
      <c r="D363" s="12"/>
      <c r="E363" s="12"/>
      <c r="I363" s="275"/>
    </row>
    <row r="364" spans="3:9">
      <c r="C364" s="12"/>
      <c r="D364" s="12"/>
      <c r="E364" s="12"/>
      <c r="I364" s="275"/>
    </row>
    <row r="365" spans="3:9">
      <c r="C365" s="12"/>
      <c r="D365" s="12"/>
      <c r="E365" s="12"/>
      <c r="I365" s="275"/>
    </row>
    <row r="366" spans="3:9">
      <c r="C366" s="12"/>
      <c r="D366" s="12"/>
      <c r="E366" s="12"/>
      <c r="I366" s="275"/>
    </row>
    <row r="367" spans="3:9">
      <c r="C367" s="12"/>
      <c r="D367" s="12"/>
      <c r="E367" s="12"/>
      <c r="I367" s="275"/>
    </row>
    <row r="368" spans="3:9">
      <c r="C368" s="12"/>
      <c r="D368" s="12"/>
      <c r="E368" s="12"/>
      <c r="I368" s="275"/>
    </row>
    <row r="369" spans="3:9">
      <c r="C369" s="12"/>
      <c r="D369" s="12"/>
      <c r="E369" s="12"/>
      <c r="I369" s="275"/>
    </row>
    <row r="370" spans="3:9">
      <c r="C370" s="12"/>
      <c r="D370" s="12"/>
      <c r="E370" s="12"/>
      <c r="I370" s="275"/>
    </row>
    <row r="371" spans="3:9">
      <c r="C371" s="12"/>
      <c r="D371" s="12"/>
      <c r="E371" s="12"/>
      <c r="I371" s="275"/>
    </row>
    <row r="372" spans="3:9">
      <c r="C372" s="12"/>
      <c r="D372" s="12"/>
      <c r="E372" s="12"/>
      <c r="I372" s="275"/>
    </row>
    <row r="373" spans="3:9">
      <c r="C373" s="12"/>
      <c r="D373" s="12"/>
      <c r="E373" s="12"/>
      <c r="I373" s="275"/>
    </row>
    <row r="374" spans="3:9">
      <c r="C374" s="12"/>
      <c r="D374" s="12"/>
      <c r="E374" s="12"/>
      <c r="I374" s="275"/>
    </row>
    <row r="375" spans="3:9">
      <c r="C375" s="12"/>
      <c r="D375" s="12"/>
      <c r="E375" s="12"/>
      <c r="I375" s="275"/>
    </row>
    <row r="376" spans="3:9">
      <c r="C376" s="12"/>
      <c r="D376" s="12"/>
      <c r="E376" s="12"/>
      <c r="I376" s="275"/>
    </row>
    <row r="377" spans="3:9">
      <c r="C377" s="12"/>
      <c r="D377" s="12"/>
      <c r="E377" s="12"/>
      <c r="I377" s="275"/>
    </row>
    <row r="378" spans="3:9">
      <c r="C378" s="12"/>
      <c r="D378" s="12"/>
      <c r="E378" s="12"/>
      <c r="I378" s="275"/>
    </row>
    <row r="379" spans="3:9">
      <c r="C379" s="12"/>
      <c r="D379" s="12"/>
      <c r="E379" s="12"/>
      <c r="I379" s="275"/>
    </row>
    <row r="380" spans="3:9">
      <c r="C380" s="12"/>
      <c r="D380" s="12"/>
      <c r="E380" s="12"/>
      <c r="I380" s="275"/>
    </row>
    <row r="381" spans="3:9">
      <c r="C381" s="12"/>
      <c r="D381" s="12"/>
      <c r="E381" s="12"/>
      <c r="I381" s="275"/>
    </row>
    <row r="382" spans="3:9">
      <c r="C382" s="12"/>
      <c r="D382" s="12"/>
      <c r="E382" s="12"/>
      <c r="I382" s="275"/>
    </row>
    <row r="383" spans="3:9">
      <c r="C383" s="12"/>
      <c r="D383" s="12"/>
      <c r="E383" s="12"/>
      <c r="I383" s="275"/>
    </row>
    <row r="384" spans="3:9">
      <c r="C384" s="12"/>
      <c r="D384" s="12"/>
      <c r="E384" s="12"/>
      <c r="I384" s="275"/>
    </row>
    <row r="385" spans="3:9">
      <c r="C385" s="12"/>
      <c r="D385" s="12"/>
      <c r="E385" s="12"/>
      <c r="I385" s="275"/>
    </row>
    <row r="386" spans="3:9">
      <c r="C386" s="12"/>
      <c r="D386" s="12"/>
      <c r="E386" s="12"/>
      <c r="I386" s="275"/>
    </row>
    <row r="387" spans="3:9">
      <c r="C387" s="12"/>
      <c r="D387" s="12"/>
      <c r="E387" s="12"/>
      <c r="I387" s="275"/>
    </row>
    <row r="388" spans="3:9">
      <c r="C388" s="12"/>
      <c r="D388" s="12"/>
      <c r="E388" s="12"/>
      <c r="I388" s="275"/>
    </row>
    <row r="389" spans="3:9">
      <c r="C389" s="12"/>
      <c r="D389" s="12"/>
      <c r="E389" s="12"/>
      <c r="I389" s="275"/>
    </row>
    <row r="390" spans="3:9">
      <c r="C390" s="12"/>
      <c r="D390" s="12"/>
      <c r="E390" s="12"/>
      <c r="I390" s="275"/>
    </row>
    <row r="391" spans="3:9">
      <c r="C391" s="12"/>
      <c r="D391" s="12"/>
      <c r="E391" s="12"/>
      <c r="I391" s="275"/>
    </row>
    <row r="392" spans="3:9">
      <c r="C392" s="12"/>
      <c r="D392" s="12"/>
      <c r="E392" s="12"/>
      <c r="I392" s="275"/>
    </row>
    <row r="393" spans="3:9">
      <c r="C393" s="12"/>
      <c r="D393" s="12"/>
      <c r="E393" s="12"/>
      <c r="I393" s="275"/>
    </row>
    <row r="394" spans="3:9">
      <c r="C394" s="12"/>
      <c r="D394" s="12"/>
      <c r="E394" s="12"/>
      <c r="I394" s="275"/>
    </row>
    <row r="395" spans="3:9">
      <c r="C395" s="12"/>
      <c r="D395" s="12"/>
      <c r="E395" s="12"/>
      <c r="I395" s="275"/>
    </row>
    <row r="396" spans="3:9">
      <c r="C396" s="12"/>
      <c r="D396" s="12"/>
      <c r="E396" s="12"/>
      <c r="I396" s="275"/>
    </row>
    <row r="397" spans="3:9">
      <c r="C397" s="12"/>
      <c r="D397" s="12"/>
      <c r="E397" s="12"/>
      <c r="I397" s="275"/>
    </row>
    <row r="398" spans="3:9">
      <c r="C398" s="12"/>
      <c r="D398" s="12"/>
      <c r="E398" s="12"/>
      <c r="I398" s="275"/>
    </row>
    <row r="399" spans="3:9">
      <c r="C399" s="12"/>
      <c r="D399" s="12"/>
      <c r="E399" s="12"/>
      <c r="I399" s="275"/>
    </row>
    <row r="400" spans="3:9">
      <c r="C400" s="12"/>
      <c r="D400" s="12"/>
      <c r="E400" s="12"/>
      <c r="I400" s="275"/>
    </row>
    <row r="401" spans="3:9">
      <c r="C401" s="12"/>
      <c r="D401" s="12"/>
      <c r="E401" s="12"/>
      <c r="I401" s="275"/>
    </row>
    <row r="402" spans="3:9">
      <c r="C402" s="12"/>
      <c r="D402" s="12"/>
      <c r="E402" s="12"/>
      <c r="I402" s="275"/>
    </row>
    <row r="403" spans="3:9">
      <c r="C403" s="12"/>
      <c r="D403" s="12"/>
      <c r="E403" s="12"/>
      <c r="I403" s="275"/>
    </row>
    <row r="404" spans="3:9">
      <c r="C404" s="12"/>
      <c r="D404" s="12"/>
      <c r="E404" s="12"/>
      <c r="I404" s="275"/>
    </row>
    <row r="405" spans="3:9">
      <c r="C405" s="12"/>
      <c r="D405" s="12"/>
      <c r="E405" s="12"/>
      <c r="I405" s="275"/>
    </row>
    <row r="406" spans="3:9">
      <c r="C406" s="12"/>
      <c r="D406" s="12"/>
      <c r="E406" s="12"/>
      <c r="I406" s="275"/>
    </row>
    <row r="407" spans="3:9">
      <c r="C407" s="12"/>
      <c r="D407" s="12"/>
      <c r="E407" s="12"/>
      <c r="I407" s="275"/>
    </row>
    <row r="408" spans="3:9">
      <c r="C408" s="12"/>
      <c r="D408" s="12"/>
      <c r="E408" s="12"/>
      <c r="I408" s="275"/>
    </row>
    <row r="409" spans="3:9">
      <c r="C409" s="12"/>
      <c r="D409" s="12"/>
      <c r="E409" s="12"/>
      <c r="I409" s="275"/>
    </row>
    <row r="410" spans="3:9">
      <c r="C410" s="12"/>
      <c r="D410" s="12"/>
      <c r="E410" s="12"/>
      <c r="I410" s="275"/>
    </row>
    <row r="411" spans="3:9">
      <c r="C411" s="12"/>
      <c r="D411" s="12"/>
      <c r="E411" s="12"/>
      <c r="I411" s="275"/>
    </row>
    <row r="412" spans="3:9">
      <c r="C412" s="12"/>
      <c r="D412" s="12"/>
      <c r="E412" s="12"/>
      <c r="I412" s="275"/>
    </row>
    <row r="413" spans="3:9">
      <c r="C413" s="12"/>
      <c r="D413" s="12"/>
      <c r="E413" s="12"/>
      <c r="I413" s="275"/>
    </row>
    <row r="414" spans="3:9">
      <c r="C414" s="12"/>
      <c r="D414" s="12"/>
      <c r="E414" s="12"/>
      <c r="I414" s="275"/>
    </row>
    <row r="415" spans="3:9">
      <c r="C415" s="12"/>
      <c r="D415" s="12"/>
      <c r="E415" s="12"/>
      <c r="I415" s="275"/>
    </row>
    <row r="416" spans="3:9">
      <c r="C416" s="12"/>
      <c r="D416" s="12"/>
      <c r="E416" s="12"/>
      <c r="I416" s="275"/>
    </row>
    <row r="417" spans="3:9">
      <c r="C417" s="12"/>
      <c r="D417" s="12"/>
      <c r="E417" s="12"/>
      <c r="I417" s="275"/>
    </row>
    <row r="418" spans="3:9">
      <c r="C418" s="12"/>
      <c r="D418" s="12"/>
      <c r="E418" s="12"/>
      <c r="I418" s="275"/>
    </row>
    <row r="419" spans="3:9">
      <c r="C419" s="12"/>
      <c r="D419" s="12"/>
      <c r="E419" s="12"/>
      <c r="I419" s="275"/>
    </row>
    <row r="420" spans="3:9">
      <c r="C420" s="12"/>
      <c r="D420" s="12"/>
      <c r="E420" s="12"/>
      <c r="I420" s="275"/>
    </row>
    <row r="421" spans="3:9">
      <c r="C421" s="12"/>
      <c r="D421" s="12"/>
      <c r="E421" s="12"/>
      <c r="I421" s="275"/>
    </row>
    <row r="422" spans="3:9">
      <c r="C422" s="12"/>
      <c r="D422" s="12"/>
      <c r="E422" s="12"/>
      <c r="I422" s="275"/>
    </row>
    <row r="423" spans="3:9">
      <c r="C423" s="12"/>
      <c r="D423" s="12"/>
      <c r="E423" s="12"/>
      <c r="I423" s="275"/>
    </row>
    <row r="424" spans="3:9">
      <c r="C424" s="12"/>
      <c r="D424" s="12"/>
      <c r="E424" s="12"/>
      <c r="I424" s="275"/>
    </row>
    <row r="425" spans="3:9">
      <c r="C425" s="12"/>
      <c r="D425" s="12"/>
      <c r="E425" s="12"/>
      <c r="I425" s="275"/>
    </row>
    <row r="426" spans="3:9">
      <c r="C426" s="12"/>
      <c r="D426" s="12"/>
      <c r="E426" s="12"/>
      <c r="I426" s="275"/>
    </row>
    <row r="427" spans="3:9">
      <c r="C427" s="12"/>
      <c r="D427" s="12"/>
      <c r="E427" s="12"/>
      <c r="I427" s="275"/>
    </row>
    <row r="428" spans="3:9">
      <c r="C428" s="12"/>
      <c r="D428" s="12"/>
      <c r="E428" s="12"/>
      <c r="I428" s="275"/>
    </row>
    <row r="429" spans="3:9">
      <c r="C429" s="12"/>
      <c r="D429" s="12"/>
      <c r="E429" s="12"/>
      <c r="I429" s="275"/>
    </row>
    <row r="430" spans="3:9">
      <c r="C430" s="12"/>
      <c r="D430" s="12"/>
      <c r="E430" s="12"/>
      <c r="I430" s="275"/>
    </row>
    <row r="431" spans="3:9">
      <c r="C431" s="12"/>
      <c r="D431" s="12"/>
      <c r="E431" s="12"/>
      <c r="I431" s="275"/>
    </row>
    <row r="432" spans="3:9">
      <c r="C432" s="12"/>
      <c r="D432" s="12"/>
      <c r="E432" s="12"/>
      <c r="I432" s="275"/>
    </row>
    <row r="433" spans="3:9">
      <c r="C433" s="12"/>
      <c r="D433" s="12"/>
      <c r="E433" s="12"/>
      <c r="I433" s="275"/>
    </row>
    <row r="434" spans="3:9">
      <c r="C434" s="12"/>
      <c r="D434" s="12"/>
      <c r="E434" s="12"/>
      <c r="I434" s="275"/>
    </row>
    <row r="435" spans="3:9">
      <c r="C435" s="12"/>
      <c r="D435" s="12"/>
      <c r="E435" s="12"/>
      <c r="I435" s="275"/>
    </row>
    <row r="436" spans="3:9">
      <c r="C436" s="12"/>
      <c r="D436" s="12"/>
      <c r="E436" s="12"/>
      <c r="I436" s="275"/>
    </row>
    <row r="437" spans="3:9">
      <c r="C437" s="12"/>
      <c r="D437" s="12"/>
      <c r="E437" s="12"/>
      <c r="I437" s="275"/>
    </row>
    <row r="438" spans="3:9">
      <c r="C438" s="12"/>
      <c r="D438" s="12"/>
      <c r="E438" s="12"/>
      <c r="I438" s="275"/>
    </row>
    <row r="439" spans="3:9">
      <c r="C439" s="12"/>
      <c r="D439" s="12"/>
      <c r="E439" s="12"/>
      <c r="I439" s="275"/>
    </row>
    <row r="440" spans="3:9">
      <c r="C440" s="12"/>
      <c r="D440" s="12"/>
      <c r="E440" s="12"/>
      <c r="I440" s="275"/>
    </row>
    <row r="441" spans="3:9">
      <c r="C441" s="12"/>
      <c r="D441" s="12"/>
      <c r="E441" s="12"/>
      <c r="I441" s="275"/>
    </row>
    <row r="442" spans="3:9">
      <c r="C442" s="12"/>
      <c r="D442" s="12"/>
      <c r="E442" s="12"/>
      <c r="I442" s="275"/>
    </row>
    <row r="443" spans="3:9">
      <c r="C443" s="12"/>
      <c r="D443" s="12"/>
      <c r="E443" s="12"/>
      <c r="I443" s="275"/>
    </row>
    <row r="444" spans="3:9">
      <c r="C444" s="12"/>
      <c r="D444" s="12"/>
      <c r="E444" s="12"/>
      <c r="I444" s="275"/>
    </row>
    <row r="445" spans="3:9">
      <c r="C445" s="12"/>
      <c r="D445" s="12"/>
      <c r="E445" s="12"/>
      <c r="I445" s="275"/>
    </row>
    <row r="446" spans="3:9">
      <c r="C446" s="12"/>
      <c r="D446" s="12"/>
      <c r="E446" s="12"/>
      <c r="I446" s="275"/>
    </row>
    <row r="447" spans="3:9">
      <c r="C447" s="12"/>
      <c r="D447" s="12"/>
      <c r="E447" s="12"/>
      <c r="I447" s="275"/>
    </row>
    <row r="448" spans="3:9">
      <c r="C448" s="12"/>
      <c r="D448" s="12"/>
      <c r="E448" s="12"/>
      <c r="I448" s="275"/>
    </row>
    <row r="449" spans="3:9">
      <c r="C449" s="12"/>
      <c r="D449" s="12"/>
      <c r="E449" s="12"/>
      <c r="I449" s="275"/>
    </row>
    <row r="450" spans="3:9">
      <c r="C450" s="12"/>
      <c r="D450" s="12"/>
      <c r="E450" s="12"/>
      <c r="I450" s="275"/>
    </row>
    <row r="451" spans="3:9">
      <c r="C451" s="12"/>
      <c r="D451" s="12"/>
      <c r="E451" s="12"/>
      <c r="I451" s="275"/>
    </row>
    <row r="452" spans="3:9">
      <c r="C452" s="12"/>
      <c r="D452" s="12"/>
      <c r="E452" s="12"/>
      <c r="I452" s="275"/>
    </row>
    <row r="453" spans="3:9">
      <c r="C453" s="12"/>
      <c r="D453" s="12"/>
      <c r="E453" s="12"/>
      <c r="I453" s="275"/>
    </row>
    <row r="454" spans="3:9">
      <c r="C454" s="12"/>
      <c r="D454" s="12"/>
      <c r="E454" s="12"/>
      <c r="I454" s="275"/>
    </row>
    <row r="455" spans="3:9">
      <c r="C455" s="12"/>
      <c r="D455" s="12"/>
      <c r="E455" s="12"/>
      <c r="I455" s="275"/>
    </row>
    <row r="456" spans="3:9">
      <c r="C456" s="12"/>
      <c r="D456" s="12"/>
      <c r="E456" s="12"/>
      <c r="I456" s="275"/>
    </row>
    <row r="457" spans="3:9">
      <c r="C457" s="12"/>
      <c r="D457" s="12"/>
      <c r="E457" s="12"/>
      <c r="I457" s="275"/>
    </row>
    <row r="458" spans="3:9">
      <c r="C458" s="12"/>
      <c r="D458" s="12"/>
      <c r="E458" s="12"/>
      <c r="I458" s="275"/>
    </row>
    <row r="459" spans="3:9">
      <c r="C459" s="12"/>
      <c r="D459" s="12"/>
      <c r="E459" s="12"/>
      <c r="I459" s="275"/>
    </row>
    <row r="460" spans="3:9">
      <c r="C460" s="12"/>
      <c r="D460" s="12"/>
      <c r="E460" s="12"/>
      <c r="I460" s="275"/>
    </row>
    <row r="461" spans="3:9">
      <c r="C461" s="12"/>
      <c r="D461" s="12"/>
      <c r="E461" s="12"/>
      <c r="I461" s="275"/>
    </row>
    <row r="462" spans="3:9">
      <c r="C462" s="12"/>
      <c r="D462" s="12"/>
      <c r="E462" s="12"/>
      <c r="I462" s="275"/>
    </row>
    <row r="463" spans="3:9">
      <c r="C463" s="12"/>
      <c r="D463" s="12"/>
      <c r="E463" s="12"/>
      <c r="I463" s="275"/>
    </row>
    <row r="464" spans="3:9">
      <c r="C464" s="12"/>
      <c r="D464" s="12"/>
      <c r="E464" s="12"/>
      <c r="I464" s="275"/>
    </row>
    <row r="465" spans="3:9">
      <c r="C465" s="12"/>
      <c r="D465" s="12"/>
      <c r="E465" s="12"/>
      <c r="I465" s="275"/>
    </row>
    <row r="466" spans="3:9">
      <c r="C466" s="12"/>
      <c r="D466" s="12"/>
      <c r="E466" s="12"/>
      <c r="I466" s="275"/>
    </row>
    <row r="467" spans="3:9">
      <c r="C467" s="12"/>
      <c r="D467" s="12"/>
      <c r="E467" s="12"/>
      <c r="I467" s="275"/>
    </row>
    <row r="468" spans="3:9">
      <c r="C468" s="12"/>
      <c r="D468" s="12"/>
      <c r="E468" s="12"/>
      <c r="I468" s="275"/>
    </row>
    <row r="469" spans="3:9">
      <c r="C469" s="12"/>
      <c r="D469" s="12"/>
      <c r="E469" s="12"/>
      <c r="I469" s="275"/>
    </row>
    <row r="470" spans="3:9">
      <c r="C470" s="12"/>
      <c r="D470" s="12"/>
      <c r="E470" s="12"/>
      <c r="I470" s="275"/>
    </row>
    <row r="471" spans="3:9">
      <c r="C471" s="12"/>
      <c r="D471" s="12"/>
      <c r="E471" s="12"/>
      <c r="I471" s="275"/>
    </row>
    <row r="472" spans="3:9">
      <c r="C472" s="12"/>
      <c r="D472" s="12"/>
      <c r="E472" s="12"/>
      <c r="I472" s="275"/>
    </row>
    <row r="473" spans="3:9">
      <c r="C473" s="12"/>
      <c r="D473" s="12"/>
      <c r="E473" s="12"/>
      <c r="I473" s="275"/>
    </row>
    <row r="474" spans="3:9">
      <c r="C474" s="12"/>
      <c r="D474" s="12"/>
      <c r="E474" s="12"/>
      <c r="I474" s="275"/>
    </row>
    <row r="475" spans="3:9">
      <c r="C475" s="12"/>
      <c r="D475" s="12"/>
      <c r="E475" s="12"/>
      <c r="I475" s="275"/>
    </row>
    <row r="476" spans="3:9">
      <c r="C476" s="12"/>
      <c r="D476" s="12"/>
      <c r="E476" s="12"/>
      <c r="I476" s="275"/>
    </row>
    <row r="477" spans="3:9">
      <c r="C477" s="12"/>
      <c r="D477" s="12"/>
      <c r="E477" s="12"/>
      <c r="I477" s="275"/>
    </row>
    <row r="478" spans="3:9">
      <c r="C478" s="12"/>
      <c r="D478" s="12"/>
      <c r="E478" s="12"/>
      <c r="I478" s="275"/>
    </row>
    <row r="479" spans="3:9">
      <c r="C479" s="12"/>
      <c r="D479" s="12"/>
      <c r="E479" s="12"/>
      <c r="I479" s="275"/>
    </row>
    <row r="480" spans="3:9">
      <c r="C480" s="12"/>
      <c r="D480" s="12"/>
      <c r="E480" s="12"/>
      <c r="I480" s="275"/>
    </row>
    <row r="481" spans="3:9">
      <c r="C481" s="12"/>
      <c r="D481" s="12"/>
      <c r="E481" s="12"/>
      <c r="I481" s="275"/>
    </row>
    <row r="482" spans="3:9">
      <c r="C482" s="12"/>
      <c r="D482" s="12"/>
      <c r="E482" s="12"/>
      <c r="I482" s="275"/>
    </row>
    <row r="483" spans="3:9">
      <c r="C483" s="12"/>
      <c r="D483" s="12"/>
      <c r="E483" s="12"/>
      <c r="I483" s="275"/>
    </row>
    <row r="484" spans="3:9">
      <c r="C484" s="12"/>
      <c r="D484" s="12"/>
      <c r="E484" s="12"/>
      <c r="I484" s="275"/>
    </row>
    <row r="485" spans="3:9">
      <c r="C485" s="12"/>
      <c r="D485" s="12"/>
      <c r="E485" s="12"/>
      <c r="I485" s="275"/>
    </row>
    <row r="486" spans="3:9">
      <c r="C486" s="12"/>
      <c r="D486" s="12"/>
      <c r="E486" s="12"/>
      <c r="I486" s="275"/>
    </row>
    <row r="487" spans="3:9">
      <c r="C487" s="12"/>
      <c r="D487" s="12"/>
      <c r="E487" s="12"/>
      <c r="I487" s="275"/>
    </row>
    <row r="488" spans="3:9">
      <c r="C488" s="12"/>
      <c r="D488" s="12"/>
      <c r="E488" s="12"/>
      <c r="I488" s="275"/>
    </row>
    <row r="489" spans="3:9">
      <c r="C489" s="12"/>
      <c r="D489" s="12"/>
      <c r="E489" s="12"/>
      <c r="I489" s="275"/>
    </row>
    <row r="490" spans="3:9">
      <c r="C490" s="12"/>
      <c r="D490" s="12"/>
      <c r="E490" s="12"/>
      <c r="I490" s="275"/>
    </row>
    <row r="491" spans="3:9">
      <c r="C491" s="12"/>
      <c r="D491" s="12"/>
      <c r="E491" s="12"/>
      <c r="I491" s="275"/>
    </row>
    <row r="492" spans="3:9">
      <c r="C492" s="12"/>
      <c r="D492" s="12"/>
      <c r="E492" s="12"/>
      <c r="I492" s="275"/>
    </row>
    <row r="493" spans="3:9">
      <c r="C493" s="12"/>
      <c r="D493" s="12"/>
      <c r="E493" s="12"/>
      <c r="I493" s="275"/>
    </row>
    <row r="494" spans="3:9">
      <c r="C494" s="12"/>
      <c r="D494" s="12"/>
      <c r="E494" s="12"/>
      <c r="I494" s="275"/>
    </row>
    <row r="495" spans="3:9">
      <c r="C495" s="12"/>
      <c r="D495" s="12"/>
      <c r="E495" s="12"/>
      <c r="I495" s="275"/>
    </row>
    <row r="496" spans="3:9">
      <c r="C496" s="12"/>
      <c r="D496" s="12"/>
      <c r="E496" s="12"/>
      <c r="I496" s="275"/>
    </row>
    <row r="497" spans="3:9">
      <c r="C497" s="12"/>
      <c r="D497" s="12"/>
      <c r="E497" s="12"/>
      <c r="I497" s="275"/>
    </row>
    <row r="498" spans="3:9">
      <c r="C498" s="12"/>
      <c r="D498" s="12"/>
      <c r="E498" s="12"/>
      <c r="I498" s="275"/>
    </row>
    <row r="499" spans="3:9">
      <c r="C499" s="12"/>
      <c r="D499" s="12"/>
      <c r="E499" s="12"/>
      <c r="I499" s="275"/>
    </row>
    <row r="500" spans="3:9">
      <c r="C500" s="12"/>
      <c r="D500" s="12"/>
      <c r="E500" s="12"/>
      <c r="I500" s="275"/>
    </row>
    <row r="501" spans="3:9">
      <c r="C501" s="12"/>
      <c r="D501" s="12"/>
      <c r="E501" s="12"/>
      <c r="I501" s="275"/>
    </row>
    <row r="502" spans="3:9">
      <c r="C502" s="12"/>
      <c r="D502" s="12"/>
      <c r="E502" s="12"/>
      <c r="I502" s="275"/>
    </row>
    <row r="503" spans="3:9">
      <c r="C503" s="12"/>
      <c r="D503" s="12"/>
      <c r="E503" s="12"/>
      <c r="I503" s="275"/>
    </row>
    <row r="504" spans="3:9">
      <c r="C504" s="12"/>
      <c r="D504" s="12"/>
      <c r="E504" s="12"/>
      <c r="I504" s="275"/>
    </row>
    <row r="505" spans="3:9">
      <c r="C505" s="12"/>
      <c r="D505" s="12"/>
      <c r="E505" s="12"/>
      <c r="I505" s="275"/>
    </row>
    <row r="506" spans="3:9">
      <c r="C506" s="12"/>
      <c r="D506" s="12"/>
      <c r="E506" s="12"/>
      <c r="I506" s="275"/>
    </row>
    <row r="507" spans="3:9">
      <c r="C507" s="12"/>
      <c r="D507" s="12"/>
      <c r="E507" s="12"/>
      <c r="I507" s="275"/>
    </row>
    <row r="508" spans="3:9">
      <c r="C508" s="12"/>
      <c r="D508" s="12"/>
      <c r="E508" s="12"/>
      <c r="I508" s="275"/>
    </row>
    <row r="509" spans="3:9">
      <c r="C509" s="12"/>
      <c r="D509" s="12"/>
      <c r="E509" s="12"/>
      <c r="I509" s="275"/>
    </row>
    <row r="510" spans="3:9">
      <c r="C510" s="12"/>
      <c r="D510" s="12"/>
      <c r="E510" s="12"/>
      <c r="I510" s="275"/>
    </row>
    <row r="511" spans="3:9">
      <c r="C511" s="12"/>
      <c r="D511" s="12"/>
      <c r="E511" s="12"/>
      <c r="I511" s="275"/>
    </row>
    <row r="512" spans="3:9">
      <c r="C512" s="12"/>
      <c r="D512" s="12"/>
      <c r="E512" s="12"/>
      <c r="I512" s="275"/>
    </row>
    <row r="513" spans="3:9">
      <c r="C513" s="12"/>
      <c r="D513" s="12"/>
      <c r="E513" s="12"/>
      <c r="I513" s="275"/>
    </row>
    <row r="514" spans="3:9">
      <c r="C514" s="12"/>
      <c r="D514" s="12"/>
      <c r="E514" s="12"/>
      <c r="I514" s="275"/>
    </row>
    <row r="515" spans="3:9">
      <c r="C515" s="12"/>
      <c r="D515" s="12"/>
      <c r="E515" s="12"/>
      <c r="I515" s="275"/>
    </row>
    <row r="516" spans="3:9">
      <c r="C516" s="12"/>
      <c r="D516" s="12"/>
      <c r="E516" s="12"/>
      <c r="I516" s="275"/>
    </row>
    <row r="517" spans="3:9">
      <c r="C517" s="12"/>
      <c r="D517" s="12"/>
      <c r="E517" s="12"/>
      <c r="I517" s="275"/>
    </row>
    <row r="518" spans="3:9">
      <c r="C518" s="12"/>
      <c r="D518" s="12"/>
      <c r="E518" s="12"/>
      <c r="I518" s="275"/>
    </row>
    <row r="519" spans="3:9">
      <c r="C519" s="12"/>
      <c r="D519" s="12"/>
      <c r="E519" s="12"/>
      <c r="I519" s="275"/>
    </row>
    <row r="520" spans="3:9">
      <c r="C520" s="12"/>
      <c r="D520" s="12"/>
      <c r="E520" s="12"/>
      <c r="I520" s="275"/>
    </row>
    <row r="521" spans="3:9">
      <c r="C521" s="12"/>
      <c r="D521" s="12"/>
      <c r="E521" s="12"/>
      <c r="I521" s="275"/>
    </row>
    <row r="522" spans="3:9">
      <c r="C522" s="12"/>
      <c r="D522" s="12"/>
      <c r="E522" s="12"/>
      <c r="I522" s="275"/>
    </row>
    <row r="523" spans="3:9">
      <c r="C523" s="12"/>
      <c r="D523" s="12"/>
      <c r="E523" s="12"/>
      <c r="I523" s="275"/>
    </row>
    <row r="524" spans="3:9">
      <c r="C524" s="12"/>
      <c r="D524" s="12"/>
      <c r="E524" s="12"/>
      <c r="I524" s="275"/>
    </row>
    <row r="525" spans="3:9">
      <c r="C525" s="12"/>
      <c r="D525" s="12"/>
      <c r="E525" s="12"/>
      <c r="I525" s="275"/>
    </row>
    <row r="526" spans="3:9">
      <c r="C526" s="12"/>
      <c r="D526" s="12"/>
      <c r="E526" s="12"/>
      <c r="I526" s="275"/>
    </row>
    <row r="527" spans="3:9">
      <c r="C527" s="12"/>
      <c r="D527" s="12"/>
      <c r="E527" s="12"/>
      <c r="I527" s="275"/>
    </row>
    <row r="528" spans="3:9">
      <c r="C528" s="12"/>
      <c r="D528" s="12"/>
      <c r="E528" s="12"/>
      <c r="I528" s="275"/>
    </row>
    <row r="529" spans="3:9">
      <c r="C529" s="12"/>
      <c r="D529" s="12"/>
      <c r="E529" s="12"/>
      <c r="I529" s="275"/>
    </row>
    <row r="530" spans="3:9">
      <c r="C530" s="12"/>
      <c r="D530" s="12"/>
      <c r="E530" s="12"/>
      <c r="I530" s="275"/>
    </row>
    <row r="531" spans="3:9">
      <c r="C531" s="12"/>
      <c r="D531" s="12"/>
      <c r="E531" s="12"/>
      <c r="I531" s="275"/>
    </row>
    <row r="532" spans="3:9">
      <c r="C532" s="12"/>
      <c r="D532" s="12"/>
      <c r="E532" s="12"/>
      <c r="I532" s="275"/>
    </row>
    <row r="533" spans="3:9">
      <c r="C533" s="12"/>
      <c r="D533" s="12"/>
      <c r="E533" s="12"/>
      <c r="I533" s="275"/>
    </row>
    <row r="534" spans="3:9">
      <c r="C534" s="12"/>
      <c r="D534" s="12"/>
      <c r="E534" s="12"/>
      <c r="I534" s="275"/>
    </row>
    <row r="535" spans="3:9">
      <c r="C535" s="12"/>
      <c r="D535" s="12"/>
      <c r="E535" s="12"/>
      <c r="I535" s="275"/>
    </row>
    <row r="536" spans="3:9">
      <c r="C536" s="12"/>
      <c r="D536" s="12"/>
      <c r="E536" s="12"/>
      <c r="I536" s="275"/>
    </row>
    <row r="537" spans="3:9">
      <c r="C537" s="12"/>
      <c r="D537" s="12"/>
      <c r="E537" s="12"/>
      <c r="I537" s="275"/>
    </row>
    <row r="538" spans="3:9">
      <c r="C538" s="12"/>
      <c r="D538" s="12"/>
      <c r="E538" s="12"/>
      <c r="I538" s="275"/>
    </row>
    <row r="539" spans="3:9">
      <c r="C539" s="12"/>
      <c r="D539" s="12"/>
      <c r="E539" s="12"/>
      <c r="I539" s="275"/>
    </row>
    <row r="540" spans="3:9">
      <c r="C540" s="12"/>
      <c r="D540" s="12"/>
      <c r="E540" s="12"/>
      <c r="I540" s="275"/>
    </row>
    <row r="541" spans="3:9">
      <c r="C541" s="12"/>
      <c r="D541" s="12"/>
      <c r="E541" s="12"/>
      <c r="I541" s="275"/>
    </row>
    <row r="542" spans="3:9">
      <c r="C542" s="12"/>
      <c r="D542" s="12"/>
      <c r="E542" s="12"/>
      <c r="I542" s="275"/>
    </row>
    <row r="543" spans="3:9">
      <c r="C543" s="12"/>
      <c r="D543" s="12"/>
      <c r="E543" s="12"/>
      <c r="I543" s="275"/>
    </row>
    <row r="544" spans="3:9">
      <c r="C544" s="12"/>
      <c r="D544" s="12"/>
      <c r="E544" s="12"/>
      <c r="I544" s="275"/>
    </row>
    <row r="545" spans="3:9">
      <c r="C545" s="12"/>
      <c r="D545" s="12"/>
      <c r="E545" s="12"/>
      <c r="I545" s="275"/>
    </row>
    <row r="546" spans="3:9">
      <c r="C546" s="12"/>
      <c r="D546" s="12"/>
      <c r="E546" s="12"/>
      <c r="I546" s="275"/>
    </row>
    <row r="547" spans="3:9">
      <c r="C547" s="12"/>
      <c r="D547" s="12"/>
      <c r="E547" s="12"/>
      <c r="I547" s="275"/>
    </row>
    <row r="548" spans="3:9">
      <c r="C548" s="12"/>
      <c r="D548" s="12"/>
      <c r="E548" s="12"/>
      <c r="I548" s="275"/>
    </row>
    <row r="549" spans="3:9">
      <c r="C549" s="12"/>
      <c r="D549" s="12"/>
      <c r="E549" s="12"/>
      <c r="I549" s="275"/>
    </row>
    <row r="550" spans="3:9">
      <c r="C550" s="12"/>
      <c r="D550" s="12"/>
      <c r="E550" s="12"/>
      <c r="I550" s="275"/>
    </row>
    <row r="551" spans="3:9">
      <c r="C551" s="12"/>
      <c r="D551" s="12"/>
      <c r="E551" s="12"/>
      <c r="I551" s="275"/>
    </row>
    <row r="552" spans="3:9">
      <c r="C552" s="12"/>
      <c r="D552" s="12"/>
      <c r="E552" s="12"/>
      <c r="I552" s="275"/>
    </row>
    <row r="553" spans="3:9">
      <c r="C553" s="12"/>
      <c r="D553" s="12"/>
      <c r="E553" s="12"/>
      <c r="I553" s="275"/>
    </row>
    <row r="554" spans="3:9">
      <c r="C554" s="12"/>
      <c r="D554" s="12"/>
      <c r="E554" s="12"/>
      <c r="I554" s="275"/>
    </row>
    <row r="555" spans="3:9">
      <c r="C555" s="12"/>
      <c r="D555" s="12"/>
      <c r="E555" s="12"/>
      <c r="I555" s="275"/>
    </row>
    <row r="556" spans="3:9">
      <c r="C556" s="12"/>
      <c r="D556" s="12"/>
      <c r="E556" s="12"/>
      <c r="I556" s="275"/>
    </row>
    <row r="557" spans="3:9">
      <c r="C557" s="12"/>
      <c r="D557" s="12"/>
      <c r="E557" s="12"/>
      <c r="I557" s="275"/>
    </row>
    <row r="558" spans="3:9">
      <c r="C558" s="12"/>
      <c r="D558" s="12"/>
      <c r="E558" s="12"/>
      <c r="I558" s="275"/>
    </row>
    <row r="559" spans="3:9">
      <c r="C559" s="12"/>
      <c r="D559" s="12"/>
      <c r="E559" s="12"/>
      <c r="I559" s="275"/>
    </row>
    <row r="560" spans="3:9">
      <c r="C560" s="12"/>
      <c r="D560" s="12"/>
      <c r="E560" s="12"/>
      <c r="I560" s="275"/>
    </row>
    <row r="561" spans="3:9">
      <c r="C561" s="12"/>
      <c r="D561" s="12"/>
      <c r="E561" s="12"/>
      <c r="I561" s="275"/>
    </row>
    <row r="562" spans="3:9">
      <c r="C562" s="12"/>
      <c r="D562" s="12"/>
      <c r="E562" s="12"/>
      <c r="I562" s="275"/>
    </row>
    <row r="563" spans="3:9">
      <c r="C563" s="12"/>
      <c r="D563" s="12"/>
      <c r="E563" s="12"/>
      <c r="I563" s="275"/>
    </row>
    <row r="564" spans="3:9">
      <c r="C564" s="12"/>
      <c r="D564" s="12"/>
      <c r="E564" s="12"/>
      <c r="I564" s="275"/>
    </row>
    <row r="565" spans="3:9">
      <c r="C565" s="12"/>
      <c r="D565" s="12"/>
      <c r="E565" s="12"/>
      <c r="I565" s="275"/>
    </row>
    <row r="566" spans="3:9">
      <c r="C566" s="12"/>
      <c r="D566" s="12"/>
      <c r="E566" s="12"/>
      <c r="I566" s="275"/>
    </row>
    <row r="567" spans="3:9">
      <c r="C567" s="12"/>
      <c r="D567" s="12"/>
      <c r="E567" s="12"/>
      <c r="I567" s="275"/>
    </row>
    <row r="568" spans="3:9">
      <c r="C568" s="12"/>
      <c r="D568" s="12"/>
      <c r="E568" s="12"/>
      <c r="I568" s="275"/>
    </row>
    <row r="569" spans="3:9">
      <c r="C569" s="12"/>
      <c r="D569" s="12"/>
      <c r="E569" s="12"/>
      <c r="I569" s="275"/>
    </row>
    <row r="570" spans="3:9">
      <c r="C570" s="12"/>
      <c r="D570" s="12"/>
      <c r="E570" s="12"/>
      <c r="I570" s="275"/>
    </row>
    <row r="571" spans="3:9">
      <c r="C571" s="12"/>
      <c r="D571" s="12"/>
      <c r="E571" s="12"/>
      <c r="I571" s="275"/>
    </row>
    <row r="572" spans="3:9">
      <c r="C572" s="12"/>
      <c r="D572" s="12"/>
      <c r="E572" s="12"/>
      <c r="I572" s="275"/>
    </row>
    <row r="573" spans="3:9">
      <c r="C573" s="12"/>
      <c r="D573" s="12"/>
      <c r="E573" s="12"/>
      <c r="I573" s="275"/>
    </row>
    <row r="574" spans="3:9">
      <c r="C574" s="12"/>
      <c r="D574" s="12"/>
      <c r="E574" s="12"/>
      <c r="I574" s="275"/>
    </row>
    <row r="575" spans="3:9">
      <c r="C575" s="12"/>
      <c r="D575" s="12"/>
      <c r="E575" s="12"/>
      <c r="I575" s="275"/>
    </row>
    <row r="576" spans="3:9">
      <c r="C576" s="12"/>
      <c r="D576" s="12"/>
      <c r="E576" s="12"/>
      <c r="I576" s="275"/>
    </row>
    <row r="577" spans="3:9">
      <c r="C577" s="12"/>
      <c r="D577" s="12"/>
      <c r="E577" s="12"/>
      <c r="I577" s="275"/>
    </row>
    <row r="578" spans="3:9">
      <c r="C578" s="12"/>
      <c r="D578" s="12"/>
      <c r="E578" s="12"/>
      <c r="I578" s="275"/>
    </row>
    <row r="579" spans="3:9">
      <c r="C579" s="12"/>
      <c r="D579" s="12"/>
      <c r="E579" s="12"/>
      <c r="I579" s="275"/>
    </row>
    <row r="580" spans="3:9">
      <c r="C580" s="12"/>
      <c r="D580" s="12"/>
      <c r="E580" s="12"/>
      <c r="I580" s="275"/>
    </row>
    <row r="581" spans="3:9">
      <c r="C581" s="12"/>
      <c r="D581" s="12"/>
      <c r="E581" s="12"/>
      <c r="I581" s="275"/>
    </row>
    <row r="582" spans="3:9">
      <c r="C582" s="12"/>
      <c r="D582" s="12"/>
      <c r="E582" s="12"/>
      <c r="I582" s="275"/>
    </row>
    <row r="583" spans="3:9">
      <c r="C583" s="12"/>
      <c r="D583" s="12"/>
      <c r="E583" s="12"/>
      <c r="I583" s="275"/>
    </row>
    <row r="584" spans="3:9">
      <c r="C584" s="12"/>
      <c r="D584" s="12"/>
      <c r="E584" s="12"/>
      <c r="I584" s="275"/>
    </row>
    <row r="585" spans="3:9">
      <c r="C585" s="12"/>
      <c r="D585" s="12"/>
      <c r="E585" s="12"/>
      <c r="I585" s="275"/>
    </row>
    <row r="586" spans="3:9">
      <c r="C586" s="12"/>
      <c r="D586" s="12"/>
      <c r="E586" s="12"/>
      <c r="I586" s="275"/>
    </row>
    <row r="587" spans="3:9">
      <c r="C587" s="12"/>
      <c r="D587" s="12"/>
      <c r="E587" s="12"/>
      <c r="I587" s="275"/>
    </row>
    <row r="588" spans="3:9">
      <c r="C588" s="12"/>
      <c r="D588" s="12"/>
      <c r="E588" s="12"/>
      <c r="I588" s="275"/>
    </row>
    <row r="589" spans="3:9">
      <c r="C589" s="12"/>
      <c r="D589" s="12"/>
      <c r="E589" s="12"/>
      <c r="I589" s="275"/>
    </row>
    <row r="590" spans="3:9">
      <c r="C590" s="12"/>
      <c r="D590" s="12"/>
      <c r="E590" s="12"/>
      <c r="I590" s="275"/>
    </row>
    <row r="591" spans="3:9">
      <c r="C591" s="12"/>
      <c r="D591" s="12"/>
      <c r="E591" s="12"/>
      <c r="I591" s="275"/>
    </row>
    <row r="592" spans="3:9">
      <c r="C592" s="12"/>
      <c r="D592" s="12"/>
      <c r="E592" s="12"/>
      <c r="I592" s="275"/>
    </row>
    <row r="593" spans="3:9">
      <c r="C593" s="12"/>
      <c r="D593" s="12"/>
      <c r="E593" s="12"/>
      <c r="I593" s="275"/>
    </row>
    <row r="594" spans="3:9">
      <c r="C594" s="12"/>
      <c r="D594" s="12"/>
      <c r="E594" s="12"/>
      <c r="I594" s="275"/>
    </row>
    <row r="595" spans="3:9">
      <c r="C595" s="12"/>
      <c r="D595" s="12"/>
      <c r="E595" s="12"/>
      <c r="I595" s="275"/>
    </row>
    <row r="596" spans="3:9">
      <c r="C596" s="12"/>
      <c r="D596" s="12"/>
      <c r="E596" s="12"/>
      <c r="I596" s="275"/>
    </row>
    <row r="597" spans="3:9">
      <c r="C597" s="12"/>
      <c r="D597" s="12"/>
      <c r="E597" s="12"/>
      <c r="I597" s="275"/>
    </row>
    <row r="598" spans="3:9">
      <c r="C598" s="12"/>
      <c r="D598" s="12"/>
      <c r="E598" s="12"/>
      <c r="I598" s="275"/>
    </row>
    <row r="599" spans="3:9">
      <c r="C599" s="12"/>
      <c r="D599" s="12"/>
      <c r="E599" s="12"/>
      <c r="I599" s="275"/>
    </row>
    <row r="600" spans="3:9">
      <c r="C600" s="12"/>
      <c r="D600" s="12"/>
      <c r="E600" s="12"/>
      <c r="I600" s="275"/>
    </row>
    <row r="601" spans="3:9">
      <c r="C601" s="12"/>
      <c r="D601" s="12"/>
      <c r="E601" s="12"/>
      <c r="I601" s="275"/>
    </row>
    <row r="602" spans="3:9">
      <c r="C602" s="12"/>
      <c r="D602" s="12"/>
      <c r="E602" s="12"/>
      <c r="I602" s="275"/>
    </row>
    <row r="603" spans="3:9">
      <c r="C603" s="12"/>
      <c r="D603" s="12"/>
      <c r="E603" s="12"/>
      <c r="I603" s="275"/>
    </row>
    <row r="604" spans="3:9">
      <c r="C604" s="12"/>
      <c r="D604" s="12"/>
      <c r="E604" s="12"/>
      <c r="I604" s="275"/>
    </row>
    <row r="605" spans="3:9">
      <c r="C605" s="12"/>
      <c r="D605" s="12"/>
      <c r="E605" s="12"/>
      <c r="I605" s="275"/>
    </row>
    <row r="606" spans="3:9">
      <c r="C606" s="12"/>
      <c r="D606" s="12"/>
      <c r="E606" s="12"/>
      <c r="I606" s="275"/>
    </row>
    <row r="607" spans="3:9">
      <c r="C607" s="12"/>
      <c r="D607" s="12"/>
      <c r="E607" s="12"/>
      <c r="I607" s="275"/>
    </row>
    <row r="608" spans="3:9">
      <c r="C608" s="12"/>
      <c r="D608" s="12"/>
      <c r="E608" s="12"/>
      <c r="I608" s="275"/>
    </row>
    <row r="609" spans="3:9">
      <c r="C609" s="12"/>
      <c r="D609" s="12"/>
      <c r="E609" s="12"/>
      <c r="I609" s="275"/>
    </row>
    <row r="610" spans="3:9">
      <c r="C610" s="12"/>
      <c r="D610" s="12"/>
      <c r="E610" s="12"/>
      <c r="I610" s="275"/>
    </row>
    <row r="611" spans="3:9">
      <c r="C611" s="12"/>
      <c r="D611" s="12"/>
      <c r="E611" s="12"/>
      <c r="I611" s="275"/>
    </row>
    <row r="612" spans="3:9">
      <c r="C612" s="12"/>
      <c r="D612" s="12"/>
      <c r="E612" s="12"/>
      <c r="I612" s="275"/>
    </row>
    <row r="613" spans="3:9">
      <c r="C613" s="12"/>
      <c r="D613" s="12"/>
      <c r="E613" s="12"/>
      <c r="I613" s="275"/>
    </row>
    <row r="614" spans="3:9">
      <c r="C614" s="12"/>
      <c r="D614" s="12"/>
      <c r="E614" s="12"/>
      <c r="I614" s="275"/>
    </row>
    <row r="615" spans="3:9">
      <c r="C615" s="12"/>
      <c r="D615" s="12"/>
      <c r="E615" s="12"/>
      <c r="I615" s="275"/>
    </row>
    <row r="616" spans="3:9">
      <c r="C616" s="12"/>
      <c r="D616" s="12"/>
      <c r="E616" s="12"/>
      <c r="I616" s="275"/>
    </row>
    <row r="617" spans="3:9">
      <c r="C617" s="12"/>
      <c r="D617" s="12"/>
      <c r="E617" s="12"/>
      <c r="I617" s="275"/>
    </row>
    <row r="618" spans="3:9">
      <c r="C618" s="12"/>
      <c r="D618" s="12"/>
      <c r="E618" s="12"/>
      <c r="I618" s="275"/>
    </row>
    <row r="619" spans="3:9">
      <c r="C619" s="12"/>
      <c r="D619" s="12"/>
      <c r="E619" s="12"/>
      <c r="I619" s="275"/>
    </row>
    <row r="620" spans="3:9">
      <c r="C620" s="12"/>
      <c r="D620" s="12"/>
      <c r="E620" s="12"/>
      <c r="I620" s="275"/>
    </row>
    <row r="621" spans="3:9">
      <c r="C621" s="12"/>
      <c r="D621" s="12"/>
      <c r="E621" s="12"/>
      <c r="I621" s="275"/>
    </row>
    <row r="622" spans="3:9">
      <c r="C622" s="12"/>
      <c r="D622" s="12"/>
      <c r="E622" s="12"/>
      <c r="I622" s="275"/>
    </row>
    <row r="623" spans="3:9">
      <c r="C623" s="12"/>
      <c r="D623" s="12"/>
      <c r="E623" s="12"/>
      <c r="I623" s="275"/>
    </row>
    <row r="624" spans="3:9">
      <c r="C624" s="12"/>
      <c r="D624" s="12"/>
      <c r="E624" s="12"/>
      <c r="I624" s="275"/>
    </row>
    <row r="625" spans="3:9">
      <c r="C625" s="12"/>
      <c r="D625" s="12"/>
      <c r="E625" s="12"/>
      <c r="I625" s="275"/>
    </row>
    <row r="626" spans="3:9">
      <c r="C626" s="12"/>
      <c r="D626" s="12"/>
      <c r="E626" s="12"/>
      <c r="I626" s="275"/>
    </row>
    <row r="627" spans="3:9">
      <c r="C627" s="12"/>
      <c r="D627" s="12"/>
      <c r="E627" s="12"/>
      <c r="I627" s="275"/>
    </row>
    <row r="628" spans="3:9">
      <c r="C628" s="12"/>
      <c r="D628" s="12"/>
      <c r="E628" s="12"/>
      <c r="I628" s="275"/>
    </row>
    <row r="629" spans="3:9">
      <c r="C629" s="12"/>
      <c r="D629" s="12"/>
      <c r="E629" s="12"/>
      <c r="I629" s="275"/>
    </row>
    <row r="630" spans="3:9">
      <c r="C630" s="12"/>
      <c r="D630" s="12"/>
      <c r="E630" s="12"/>
      <c r="I630" s="275"/>
    </row>
    <row r="631" spans="3:9">
      <c r="C631" s="12"/>
      <c r="D631" s="12"/>
      <c r="E631" s="12"/>
      <c r="I631" s="275"/>
    </row>
    <row r="632" spans="3:9">
      <c r="C632" s="12"/>
      <c r="D632" s="12"/>
      <c r="E632" s="12"/>
      <c r="I632" s="275"/>
    </row>
    <row r="633" spans="3:9">
      <c r="C633" s="12"/>
      <c r="D633" s="12"/>
      <c r="E633" s="12"/>
      <c r="I633" s="275"/>
    </row>
    <row r="634" spans="3:9">
      <c r="C634" s="12"/>
      <c r="D634" s="12"/>
      <c r="E634" s="12"/>
      <c r="I634" s="275"/>
    </row>
    <row r="635" spans="3:9">
      <c r="C635" s="12"/>
      <c r="D635" s="12"/>
      <c r="E635" s="12"/>
      <c r="I635" s="275"/>
    </row>
    <row r="636" spans="3:9">
      <c r="C636" s="12"/>
      <c r="D636" s="12"/>
      <c r="E636" s="12"/>
      <c r="I636" s="275"/>
    </row>
    <row r="637" spans="3:9">
      <c r="C637" s="12"/>
      <c r="D637" s="12"/>
      <c r="E637" s="12"/>
      <c r="I637" s="275"/>
    </row>
    <row r="638" spans="3:9">
      <c r="C638" s="12"/>
      <c r="D638" s="12"/>
      <c r="E638" s="12"/>
      <c r="I638" s="275"/>
    </row>
    <row r="639" spans="3:9">
      <c r="C639" s="12"/>
      <c r="D639" s="12"/>
      <c r="E639" s="12"/>
      <c r="I639" s="275"/>
    </row>
    <row r="640" spans="3:9">
      <c r="C640" s="12"/>
      <c r="D640" s="12"/>
      <c r="E640" s="12"/>
      <c r="I640" s="275"/>
    </row>
    <row r="641" spans="3:9">
      <c r="C641" s="12"/>
      <c r="D641" s="12"/>
      <c r="E641" s="12"/>
      <c r="I641" s="275"/>
    </row>
    <row r="642" spans="3:9">
      <c r="C642" s="12"/>
      <c r="D642" s="12"/>
      <c r="E642" s="12"/>
      <c r="I642" s="275"/>
    </row>
    <row r="643" spans="3:9">
      <c r="C643" s="12"/>
      <c r="D643" s="12"/>
      <c r="E643" s="12"/>
      <c r="I643" s="275"/>
    </row>
    <row r="644" spans="3:9">
      <c r="C644" s="12"/>
      <c r="D644" s="12"/>
      <c r="E644" s="12"/>
      <c r="I644" s="275"/>
    </row>
    <row r="645" spans="3:9">
      <c r="C645" s="12"/>
      <c r="D645" s="12"/>
      <c r="E645" s="12"/>
      <c r="I645" s="275"/>
    </row>
    <row r="646" spans="3:9">
      <c r="C646" s="12"/>
      <c r="D646" s="12"/>
      <c r="E646" s="12"/>
      <c r="I646" s="275"/>
    </row>
    <row r="647" spans="3:9">
      <c r="C647" s="12"/>
      <c r="D647" s="12"/>
      <c r="E647" s="12"/>
      <c r="I647" s="275"/>
    </row>
    <row r="648" spans="3:9">
      <c r="C648" s="12"/>
      <c r="D648" s="12"/>
      <c r="E648" s="12"/>
      <c r="I648" s="275"/>
    </row>
    <row r="649" spans="3:9">
      <c r="C649" s="12"/>
      <c r="D649" s="12"/>
      <c r="E649" s="12"/>
      <c r="I649" s="275"/>
    </row>
    <row r="650" spans="3:9">
      <c r="C650" s="12"/>
      <c r="D650" s="12"/>
      <c r="E650" s="12"/>
      <c r="I650" s="275"/>
    </row>
    <row r="651" spans="3:9">
      <c r="C651" s="12"/>
      <c r="D651" s="12"/>
      <c r="E651" s="12"/>
      <c r="I651" s="275"/>
    </row>
    <row r="652" spans="3:9">
      <c r="C652" s="12"/>
      <c r="D652" s="12"/>
      <c r="E652" s="12"/>
      <c r="I652" s="275"/>
    </row>
    <row r="653" spans="3:9">
      <c r="C653" s="12"/>
      <c r="D653" s="12"/>
      <c r="E653" s="12"/>
      <c r="I653" s="275"/>
    </row>
    <row r="654" spans="3:9">
      <c r="C654" s="12"/>
      <c r="D654" s="12"/>
      <c r="E654" s="12"/>
      <c r="I654" s="275"/>
    </row>
    <row r="655" spans="3:9">
      <c r="C655" s="12"/>
      <c r="D655" s="12"/>
      <c r="E655" s="12"/>
      <c r="I655" s="275"/>
    </row>
    <row r="656" spans="3:9">
      <c r="C656" s="12"/>
      <c r="D656" s="12"/>
      <c r="E656" s="12"/>
      <c r="I656" s="275"/>
    </row>
    <row r="657" spans="3:9">
      <c r="C657" s="12"/>
      <c r="D657" s="12"/>
      <c r="E657" s="12"/>
      <c r="I657" s="275"/>
    </row>
    <row r="658" spans="3:9">
      <c r="C658" s="12"/>
      <c r="D658" s="12"/>
      <c r="E658" s="12"/>
      <c r="I658" s="275"/>
    </row>
    <row r="659" spans="3:9">
      <c r="C659" s="12"/>
      <c r="D659" s="12"/>
      <c r="E659" s="12"/>
      <c r="I659" s="275"/>
    </row>
    <row r="660" spans="3:9">
      <c r="C660" s="12"/>
      <c r="D660" s="12"/>
      <c r="E660" s="12"/>
      <c r="I660" s="275"/>
    </row>
    <row r="661" spans="3:9">
      <c r="C661" s="12"/>
      <c r="D661" s="12"/>
      <c r="E661" s="12"/>
      <c r="I661" s="275"/>
    </row>
    <row r="662" spans="3:9">
      <c r="C662" s="12"/>
      <c r="D662" s="12"/>
      <c r="E662" s="12"/>
      <c r="I662" s="275"/>
    </row>
    <row r="663" spans="3:9">
      <c r="C663" s="12"/>
      <c r="D663" s="12"/>
      <c r="E663" s="12"/>
      <c r="I663" s="275"/>
    </row>
    <row r="664" spans="3:9">
      <c r="C664" s="12"/>
      <c r="D664" s="12"/>
      <c r="E664" s="12"/>
      <c r="I664" s="275"/>
    </row>
    <row r="665" spans="3:9">
      <c r="C665" s="12"/>
      <c r="D665" s="12"/>
      <c r="E665" s="12"/>
      <c r="I665" s="275"/>
    </row>
    <row r="666" spans="3:9">
      <c r="C666" s="12"/>
      <c r="D666" s="12"/>
      <c r="E666" s="12"/>
      <c r="I666" s="275"/>
    </row>
    <row r="667" spans="3:9">
      <c r="C667" s="12"/>
      <c r="D667" s="12"/>
      <c r="E667" s="12"/>
      <c r="I667" s="275"/>
    </row>
    <row r="668" spans="3:9">
      <c r="C668" s="12"/>
      <c r="D668" s="12"/>
      <c r="E668" s="12"/>
      <c r="I668" s="275"/>
    </row>
    <row r="669" spans="3:9">
      <c r="C669" s="12"/>
      <c r="D669" s="12"/>
      <c r="E669" s="12"/>
      <c r="I669" s="275"/>
    </row>
    <row r="670" spans="3:9">
      <c r="C670" s="12"/>
      <c r="D670" s="12"/>
      <c r="E670" s="12"/>
      <c r="I670" s="275"/>
    </row>
    <row r="671" spans="3:9">
      <c r="C671" s="12"/>
      <c r="D671" s="12"/>
      <c r="E671" s="12"/>
      <c r="I671" s="275"/>
    </row>
    <row r="672" spans="3:9">
      <c r="C672" s="12"/>
      <c r="D672" s="12"/>
      <c r="E672" s="12"/>
      <c r="I672" s="275"/>
    </row>
    <row r="673" spans="3:9">
      <c r="C673" s="12"/>
      <c r="D673" s="12"/>
      <c r="E673" s="12"/>
      <c r="I673" s="275"/>
    </row>
    <row r="674" spans="3:9">
      <c r="C674" s="12"/>
      <c r="D674" s="12"/>
      <c r="E674" s="12"/>
      <c r="I674" s="275"/>
    </row>
    <row r="675" spans="3:9">
      <c r="C675" s="12"/>
      <c r="D675" s="12"/>
      <c r="E675" s="12"/>
      <c r="I675" s="275"/>
    </row>
    <row r="676" spans="3:9">
      <c r="C676" s="12"/>
      <c r="D676" s="12"/>
      <c r="E676" s="12"/>
      <c r="I676" s="275"/>
    </row>
    <row r="677" spans="3:9">
      <c r="C677" s="12"/>
      <c r="D677" s="12"/>
      <c r="E677" s="12"/>
      <c r="I677" s="275"/>
    </row>
    <row r="678" spans="3:9">
      <c r="C678" s="12"/>
      <c r="D678" s="12"/>
      <c r="E678" s="12"/>
      <c r="I678" s="275"/>
    </row>
    <row r="679" spans="3:9">
      <c r="C679" s="12"/>
      <c r="D679" s="12"/>
      <c r="E679" s="12"/>
      <c r="I679" s="275"/>
    </row>
    <row r="680" spans="3:9">
      <c r="C680" s="12"/>
      <c r="D680" s="12"/>
      <c r="E680" s="12"/>
      <c r="I680" s="275"/>
    </row>
    <row r="681" spans="3:9">
      <c r="C681" s="12"/>
      <c r="D681" s="12"/>
      <c r="E681" s="12"/>
      <c r="I681" s="275"/>
    </row>
    <row r="682" spans="3:9">
      <c r="C682" s="12"/>
      <c r="D682" s="12"/>
      <c r="E682" s="12"/>
      <c r="I682" s="275"/>
    </row>
    <row r="683" spans="3:9">
      <c r="C683" s="12"/>
      <c r="D683" s="12"/>
      <c r="E683" s="12"/>
      <c r="I683" s="275"/>
    </row>
    <row r="684" spans="3:9">
      <c r="C684" s="12"/>
      <c r="D684" s="12"/>
      <c r="E684" s="12"/>
      <c r="I684" s="275"/>
    </row>
    <row r="685" spans="3:9">
      <c r="C685" s="12"/>
      <c r="D685" s="12"/>
      <c r="E685" s="12"/>
      <c r="I685" s="275"/>
    </row>
    <row r="686" spans="3:9">
      <c r="C686" s="12"/>
      <c r="D686" s="12"/>
      <c r="E686" s="12"/>
      <c r="I686" s="275"/>
    </row>
    <row r="687" spans="3:9">
      <c r="C687" s="12"/>
      <c r="D687" s="12"/>
      <c r="E687" s="12"/>
      <c r="I687" s="275"/>
    </row>
    <row r="688" spans="3:9">
      <c r="C688" s="12"/>
      <c r="D688" s="12"/>
      <c r="E688" s="12"/>
      <c r="I688" s="275"/>
    </row>
    <row r="689" spans="3:9">
      <c r="C689" s="12"/>
      <c r="D689" s="12"/>
      <c r="E689" s="12"/>
      <c r="I689" s="275"/>
    </row>
    <row r="690" spans="3:9">
      <c r="C690" s="12"/>
      <c r="D690" s="12"/>
      <c r="E690" s="12"/>
      <c r="I690" s="275"/>
    </row>
    <row r="691" spans="3:9">
      <c r="C691" s="12"/>
      <c r="D691" s="12"/>
      <c r="E691" s="12"/>
      <c r="I691" s="275"/>
    </row>
    <row r="692" spans="3:9">
      <c r="C692" s="12"/>
      <c r="D692" s="12"/>
      <c r="E692" s="12"/>
      <c r="I692" s="275"/>
    </row>
    <row r="693" spans="3:9">
      <c r="C693" s="12"/>
      <c r="D693" s="12"/>
      <c r="E693" s="12"/>
      <c r="I693" s="275"/>
    </row>
    <row r="694" spans="3:9">
      <c r="C694" s="12"/>
      <c r="D694" s="12"/>
      <c r="E694" s="12"/>
      <c r="I694" s="275"/>
    </row>
    <row r="695" spans="3:9">
      <c r="C695" s="12"/>
      <c r="D695" s="12"/>
      <c r="E695" s="12"/>
      <c r="I695" s="275"/>
    </row>
    <row r="696" spans="3:9">
      <c r="C696" s="12"/>
      <c r="D696" s="12"/>
      <c r="E696" s="12"/>
      <c r="I696" s="275"/>
    </row>
    <row r="697" spans="3:9">
      <c r="C697" s="12"/>
      <c r="D697" s="12"/>
      <c r="E697" s="12"/>
      <c r="I697" s="275"/>
    </row>
    <row r="698" spans="3:9">
      <c r="C698" s="12"/>
      <c r="D698" s="12"/>
      <c r="E698" s="12"/>
      <c r="I698" s="275"/>
    </row>
    <row r="699" spans="3:9">
      <c r="C699" s="12"/>
      <c r="D699" s="12"/>
      <c r="E699" s="12"/>
      <c r="I699" s="275"/>
    </row>
    <row r="700" spans="3:9">
      <c r="C700" s="12"/>
      <c r="D700" s="12"/>
      <c r="E700" s="12"/>
      <c r="I700" s="275"/>
    </row>
    <row r="701" spans="3:9">
      <c r="C701" s="12"/>
      <c r="D701" s="12"/>
      <c r="E701" s="12"/>
      <c r="I701" s="275"/>
    </row>
    <row r="702" spans="3:9">
      <c r="C702" s="12"/>
      <c r="D702" s="12"/>
      <c r="E702" s="12"/>
      <c r="I702" s="275"/>
    </row>
    <row r="703" spans="3:9">
      <c r="C703" s="12"/>
      <c r="D703" s="12"/>
      <c r="E703" s="12"/>
      <c r="I703" s="275"/>
    </row>
    <row r="704" spans="3:9">
      <c r="C704" s="12"/>
      <c r="D704" s="12"/>
      <c r="E704" s="12"/>
      <c r="I704" s="275"/>
    </row>
    <row r="705" spans="3:9">
      <c r="C705" s="12"/>
      <c r="D705" s="12"/>
      <c r="E705" s="12"/>
      <c r="I705" s="275"/>
    </row>
    <row r="706" spans="3:9">
      <c r="C706" s="12"/>
      <c r="D706" s="12"/>
      <c r="E706" s="12"/>
      <c r="I706" s="275"/>
    </row>
    <row r="707" spans="3:9">
      <c r="C707" s="12"/>
      <c r="D707" s="12"/>
      <c r="E707" s="12"/>
      <c r="I707" s="275"/>
    </row>
    <row r="708" spans="3:9">
      <c r="C708" s="12"/>
      <c r="D708" s="12"/>
      <c r="E708" s="12"/>
      <c r="I708" s="275"/>
    </row>
    <row r="709" spans="3:9">
      <c r="C709" s="12"/>
      <c r="D709" s="12"/>
      <c r="E709" s="12"/>
      <c r="I709" s="275"/>
    </row>
    <row r="710" spans="3:9">
      <c r="C710" s="12"/>
      <c r="D710" s="12"/>
      <c r="E710" s="12"/>
      <c r="I710" s="275"/>
    </row>
    <row r="711" spans="3:9">
      <c r="C711" s="12"/>
      <c r="D711" s="12"/>
      <c r="E711" s="12"/>
      <c r="I711" s="275"/>
    </row>
    <row r="712" spans="3:9">
      <c r="C712" s="12"/>
      <c r="D712" s="12"/>
      <c r="E712" s="12"/>
      <c r="I712" s="275"/>
    </row>
    <row r="713" spans="3:9">
      <c r="C713" s="12"/>
      <c r="D713" s="12"/>
      <c r="E713" s="12"/>
      <c r="I713" s="275"/>
    </row>
    <row r="714" spans="3:9">
      <c r="C714" s="12"/>
      <c r="D714" s="12"/>
      <c r="E714" s="12"/>
      <c r="I714" s="275"/>
    </row>
    <row r="715" spans="3:9">
      <c r="C715" s="12"/>
      <c r="D715" s="12"/>
      <c r="E715" s="12"/>
      <c r="I715" s="275"/>
    </row>
    <row r="716" spans="3:9">
      <c r="C716" s="12"/>
      <c r="D716" s="12"/>
      <c r="E716" s="12"/>
      <c r="I716" s="275"/>
    </row>
    <row r="717" spans="3:9">
      <c r="C717" s="12"/>
      <c r="D717" s="12"/>
      <c r="E717" s="12"/>
      <c r="I717" s="275"/>
    </row>
    <row r="718" spans="3:9">
      <c r="C718" s="12"/>
      <c r="D718" s="12"/>
      <c r="E718" s="12"/>
      <c r="I718" s="275"/>
    </row>
    <row r="719" spans="3:9">
      <c r="C719" s="12"/>
      <c r="D719" s="12"/>
      <c r="E719" s="12"/>
      <c r="I719" s="275"/>
    </row>
    <row r="720" spans="3:9">
      <c r="C720" s="12"/>
      <c r="D720" s="12"/>
      <c r="E720" s="12"/>
      <c r="I720" s="275"/>
    </row>
    <row r="721" spans="3:9">
      <c r="C721" s="12"/>
      <c r="D721" s="12"/>
      <c r="E721" s="12"/>
      <c r="I721" s="275"/>
    </row>
    <row r="722" spans="3:9">
      <c r="C722" s="12"/>
      <c r="D722" s="12"/>
      <c r="E722" s="12"/>
      <c r="I722" s="275"/>
    </row>
    <row r="723" spans="3:9">
      <c r="C723" s="12"/>
      <c r="D723" s="12"/>
      <c r="E723" s="12"/>
      <c r="I723" s="275"/>
    </row>
    <row r="724" spans="3:9">
      <c r="C724" s="12"/>
      <c r="D724" s="12"/>
      <c r="E724" s="12"/>
      <c r="I724" s="275"/>
    </row>
    <row r="725" spans="3:9">
      <c r="C725" s="12"/>
      <c r="D725" s="12"/>
      <c r="E725" s="12"/>
      <c r="I725" s="275"/>
    </row>
    <row r="726" spans="3:9">
      <c r="C726" s="12"/>
      <c r="D726" s="12"/>
      <c r="E726" s="12"/>
      <c r="I726" s="275"/>
    </row>
    <row r="727" spans="3:9">
      <c r="C727" s="12"/>
      <c r="D727" s="12"/>
      <c r="E727" s="12"/>
      <c r="I727" s="275"/>
    </row>
    <row r="728" spans="3:9">
      <c r="C728" s="12"/>
      <c r="D728" s="12"/>
      <c r="E728" s="12"/>
      <c r="I728" s="275"/>
    </row>
    <row r="729" spans="3:9">
      <c r="C729" s="12"/>
      <c r="D729" s="12"/>
      <c r="E729" s="12"/>
      <c r="I729" s="275"/>
    </row>
    <row r="730" spans="3:9">
      <c r="C730" s="12"/>
      <c r="D730" s="12"/>
      <c r="E730" s="12"/>
      <c r="I730" s="275"/>
    </row>
    <row r="731" spans="3:9">
      <c r="C731" s="12"/>
      <c r="D731" s="12"/>
      <c r="E731" s="12"/>
      <c r="I731" s="275"/>
    </row>
    <row r="732" spans="3:9">
      <c r="C732" s="12"/>
      <c r="D732" s="12"/>
      <c r="E732" s="12"/>
      <c r="I732" s="275"/>
    </row>
    <row r="733" spans="3:9">
      <c r="C733" s="12"/>
      <c r="D733" s="12"/>
      <c r="E733" s="12"/>
      <c r="I733" s="275"/>
    </row>
    <row r="734" spans="3:9">
      <c r="C734" s="12"/>
      <c r="D734" s="12"/>
      <c r="E734" s="12"/>
      <c r="I734" s="275"/>
    </row>
    <row r="735" spans="3:9">
      <c r="C735" s="12"/>
      <c r="D735" s="12"/>
      <c r="E735" s="12"/>
      <c r="I735" s="275"/>
    </row>
    <row r="736" spans="3:9">
      <c r="C736" s="12"/>
      <c r="D736" s="12"/>
      <c r="E736" s="12"/>
      <c r="I736" s="275"/>
    </row>
    <row r="737" spans="3:9">
      <c r="C737" s="12"/>
      <c r="D737" s="12"/>
      <c r="E737" s="12"/>
      <c r="I737" s="275"/>
    </row>
    <row r="738" spans="3:9">
      <c r="C738" s="12"/>
      <c r="D738" s="12"/>
      <c r="E738" s="12"/>
      <c r="I738" s="275"/>
    </row>
    <row r="739" spans="3:9">
      <c r="C739" s="12"/>
      <c r="D739" s="12"/>
      <c r="E739" s="12"/>
      <c r="I739" s="275"/>
    </row>
    <row r="740" spans="3:9">
      <c r="C740" s="12"/>
      <c r="D740" s="12"/>
      <c r="E740" s="12"/>
      <c r="I740" s="275"/>
    </row>
    <row r="741" spans="3:9">
      <c r="C741" s="12"/>
      <c r="D741" s="12"/>
      <c r="E741" s="12"/>
      <c r="I741" s="275"/>
    </row>
    <row r="742" spans="3:9">
      <c r="C742" s="12"/>
      <c r="D742" s="12"/>
      <c r="E742" s="12"/>
      <c r="I742" s="275"/>
    </row>
    <row r="743" spans="3:9">
      <c r="C743" s="12"/>
      <c r="D743" s="12"/>
      <c r="E743" s="12"/>
      <c r="I743" s="275"/>
    </row>
    <row r="744" spans="3:9">
      <c r="C744" s="12"/>
      <c r="D744" s="12"/>
      <c r="E744" s="12"/>
      <c r="I744" s="275"/>
    </row>
    <row r="745" spans="3:9">
      <c r="C745" s="12"/>
      <c r="D745" s="12"/>
      <c r="E745" s="12"/>
      <c r="I745" s="275"/>
    </row>
    <row r="746" spans="3:9">
      <c r="C746" s="12"/>
      <c r="D746" s="12"/>
      <c r="E746" s="12"/>
      <c r="I746" s="275"/>
    </row>
    <row r="747" spans="3:9">
      <c r="C747" s="12"/>
      <c r="D747" s="12"/>
      <c r="E747" s="12"/>
      <c r="I747" s="275"/>
    </row>
    <row r="748" spans="3:9">
      <c r="C748" s="12"/>
      <c r="D748" s="12"/>
      <c r="E748" s="12"/>
      <c r="I748" s="275"/>
    </row>
    <row r="749" spans="3:9">
      <c r="C749" s="12"/>
      <c r="D749" s="12"/>
      <c r="E749" s="12"/>
      <c r="I749" s="275"/>
    </row>
    <row r="750" spans="3:9">
      <c r="C750" s="12"/>
      <c r="D750" s="12"/>
      <c r="E750" s="12"/>
      <c r="I750" s="275"/>
    </row>
    <row r="751" spans="3:9">
      <c r="C751" s="12"/>
      <c r="D751" s="12"/>
      <c r="E751" s="12"/>
      <c r="I751" s="275"/>
    </row>
    <row r="752" spans="3:9">
      <c r="C752" s="12"/>
      <c r="D752" s="12"/>
      <c r="E752" s="12"/>
      <c r="I752" s="275"/>
    </row>
    <row r="753" spans="3:9">
      <c r="C753" s="12"/>
      <c r="D753" s="12"/>
      <c r="E753" s="12"/>
      <c r="I753" s="275"/>
    </row>
    <row r="754" spans="3:9">
      <c r="C754" s="12"/>
      <c r="D754" s="12"/>
      <c r="E754" s="12"/>
      <c r="I754" s="275"/>
    </row>
    <row r="755" spans="3:9">
      <c r="C755" s="12"/>
      <c r="D755" s="12"/>
      <c r="E755" s="12"/>
      <c r="I755" s="275"/>
    </row>
    <row r="756" spans="3:9">
      <c r="C756" s="12"/>
      <c r="D756" s="12"/>
      <c r="E756" s="12"/>
      <c r="I756" s="275"/>
    </row>
    <row r="757" spans="3:9">
      <c r="C757" s="12"/>
      <c r="D757" s="12"/>
      <c r="E757" s="12"/>
      <c r="I757" s="275"/>
    </row>
    <row r="758" spans="3:9">
      <c r="C758" s="12"/>
      <c r="D758" s="12"/>
      <c r="E758" s="12"/>
      <c r="I758" s="275"/>
    </row>
    <row r="759" spans="3:9">
      <c r="C759" s="12"/>
      <c r="D759" s="12"/>
      <c r="E759" s="12"/>
      <c r="I759" s="275"/>
    </row>
    <row r="760" spans="3:9">
      <c r="C760" s="12"/>
      <c r="D760" s="12"/>
      <c r="E760" s="12"/>
      <c r="I760" s="275"/>
    </row>
    <row r="761" spans="3:9">
      <c r="C761" s="12"/>
      <c r="D761" s="12"/>
      <c r="E761" s="12"/>
      <c r="I761" s="275"/>
    </row>
    <row r="762" spans="3:9">
      <c r="C762" s="12"/>
      <c r="D762" s="12"/>
      <c r="E762" s="12"/>
      <c r="I762" s="275"/>
    </row>
    <row r="763" spans="3:9">
      <c r="C763" s="12"/>
      <c r="D763" s="12"/>
      <c r="E763" s="12"/>
      <c r="I763" s="275"/>
    </row>
    <row r="764" spans="3:9">
      <c r="C764" s="12"/>
      <c r="D764" s="12"/>
      <c r="E764" s="12"/>
      <c r="I764" s="275"/>
    </row>
    <row r="765" spans="3:9">
      <c r="C765" s="12"/>
      <c r="D765" s="12"/>
      <c r="E765" s="12"/>
      <c r="I765" s="275"/>
    </row>
    <row r="766" spans="3:9">
      <c r="C766" s="12"/>
      <c r="D766" s="12"/>
      <c r="E766" s="12"/>
      <c r="I766" s="275"/>
    </row>
    <row r="767" spans="3:9">
      <c r="C767" s="12"/>
      <c r="D767" s="12"/>
      <c r="E767" s="12"/>
      <c r="I767" s="275"/>
    </row>
    <row r="768" spans="3:9">
      <c r="C768" s="12"/>
      <c r="D768" s="12"/>
      <c r="E768" s="12"/>
      <c r="I768" s="275"/>
    </row>
    <row r="769" spans="3:9">
      <c r="C769" s="12"/>
      <c r="D769" s="12"/>
      <c r="E769" s="12"/>
      <c r="I769" s="275"/>
    </row>
    <row r="770" spans="3:9">
      <c r="C770" s="12"/>
      <c r="D770" s="12"/>
      <c r="E770" s="12"/>
      <c r="I770" s="275"/>
    </row>
    <row r="771" spans="3:9">
      <c r="C771" s="12"/>
      <c r="D771" s="12"/>
      <c r="E771" s="12"/>
      <c r="I771" s="275"/>
    </row>
    <row r="772" spans="3:9">
      <c r="C772" s="12"/>
      <c r="D772" s="12"/>
      <c r="E772" s="12"/>
      <c r="I772" s="275"/>
    </row>
    <row r="773" spans="3:9">
      <c r="C773" s="12"/>
      <c r="D773" s="12"/>
      <c r="E773" s="12"/>
      <c r="I773" s="275"/>
    </row>
    <row r="774" spans="3:9">
      <c r="C774" s="12"/>
      <c r="D774" s="12"/>
      <c r="E774" s="12"/>
      <c r="I774" s="275"/>
    </row>
    <row r="775" spans="3:9">
      <c r="C775" s="12"/>
      <c r="D775" s="12"/>
      <c r="E775" s="12"/>
      <c r="I775" s="275"/>
    </row>
    <row r="776" spans="3:9">
      <c r="C776" s="12"/>
      <c r="D776" s="12"/>
      <c r="E776" s="12"/>
      <c r="I776" s="275"/>
    </row>
    <row r="777" spans="3:9">
      <c r="C777" s="12"/>
      <c r="D777" s="12"/>
      <c r="E777" s="12"/>
      <c r="I777" s="275"/>
    </row>
    <row r="778" spans="3:9">
      <c r="C778" s="12"/>
      <c r="D778" s="12"/>
      <c r="E778" s="12"/>
      <c r="I778" s="275"/>
    </row>
    <row r="779" spans="3:9">
      <c r="C779" s="12"/>
      <c r="D779" s="12"/>
      <c r="E779" s="12"/>
      <c r="I779" s="275"/>
    </row>
    <row r="780" spans="3:9">
      <c r="C780" s="12"/>
      <c r="D780" s="12"/>
      <c r="E780" s="12"/>
      <c r="I780" s="275"/>
    </row>
    <row r="781" spans="3:9">
      <c r="C781" s="12"/>
      <c r="D781" s="12"/>
      <c r="E781" s="12"/>
      <c r="I781" s="275"/>
    </row>
    <row r="782" spans="3:9">
      <c r="C782" s="12"/>
      <c r="D782" s="12"/>
      <c r="E782" s="12"/>
      <c r="I782" s="275"/>
    </row>
    <row r="783" spans="3:9">
      <c r="C783" s="12"/>
      <c r="D783" s="12"/>
      <c r="E783" s="12"/>
      <c r="I783" s="275"/>
    </row>
    <row r="784" spans="3:9">
      <c r="C784" s="12"/>
      <c r="D784" s="12"/>
      <c r="E784" s="12"/>
      <c r="I784" s="275"/>
    </row>
    <row r="785" spans="3:9">
      <c r="C785" s="12"/>
      <c r="D785" s="12"/>
      <c r="E785" s="12"/>
      <c r="I785" s="275"/>
    </row>
    <row r="786" spans="3:9">
      <c r="C786" s="12"/>
      <c r="D786" s="12"/>
      <c r="E786" s="12"/>
      <c r="I786" s="275"/>
    </row>
    <row r="787" spans="3:9">
      <c r="C787" s="12"/>
      <c r="D787" s="12"/>
      <c r="E787" s="12"/>
      <c r="I787" s="275"/>
    </row>
    <row r="788" spans="3:9">
      <c r="C788" s="12"/>
      <c r="D788" s="12"/>
      <c r="E788" s="12"/>
      <c r="I788" s="275"/>
    </row>
    <row r="789" spans="3:9">
      <c r="C789" s="12"/>
      <c r="D789" s="12"/>
      <c r="E789" s="12"/>
      <c r="I789" s="275"/>
    </row>
    <row r="790" spans="3:9">
      <c r="C790" s="12"/>
      <c r="D790" s="12"/>
      <c r="E790" s="12"/>
      <c r="I790" s="275"/>
    </row>
    <row r="791" spans="3:9">
      <c r="C791" s="12"/>
      <c r="D791" s="12"/>
      <c r="E791" s="12"/>
      <c r="I791" s="275"/>
    </row>
    <row r="792" spans="3:9">
      <c r="C792" s="12"/>
      <c r="D792" s="12"/>
      <c r="E792" s="12"/>
      <c r="I792" s="275"/>
    </row>
    <row r="793" spans="3:9">
      <c r="C793" s="12"/>
      <c r="D793" s="12"/>
      <c r="E793" s="12"/>
      <c r="I793" s="275"/>
    </row>
    <row r="794" spans="3:9">
      <c r="C794" s="12"/>
      <c r="D794" s="12"/>
      <c r="E794" s="12"/>
      <c r="I794" s="275"/>
    </row>
    <row r="795" spans="3:9">
      <c r="C795" s="12"/>
      <c r="D795" s="12"/>
      <c r="E795" s="12"/>
      <c r="I795" s="275"/>
    </row>
    <row r="796" spans="3:9">
      <c r="C796" s="12"/>
      <c r="D796" s="12"/>
      <c r="E796" s="12"/>
      <c r="I796" s="275"/>
    </row>
    <row r="797" spans="3:9">
      <c r="C797" s="12"/>
      <c r="D797" s="12"/>
      <c r="E797" s="12"/>
      <c r="I797" s="275"/>
    </row>
    <row r="798" spans="3:9">
      <c r="C798" s="12"/>
      <c r="D798" s="12"/>
      <c r="E798" s="12"/>
      <c r="I798" s="275"/>
    </row>
    <row r="799" spans="3:9">
      <c r="C799" s="12"/>
      <c r="D799" s="12"/>
      <c r="E799" s="12"/>
      <c r="I799" s="275"/>
    </row>
    <row r="800" spans="3:9">
      <c r="C800" s="12"/>
      <c r="D800" s="12"/>
      <c r="E800" s="12"/>
      <c r="I800" s="275"/>
    </row>
    <row r="801" spans="3:9">
      <c r="C801" s="12"/>
      <c r="D801" s="12"/>
      <c r="E801" s="12"/>
      <c r="I801" s="275"/>
    </row>
    <row r="802" spans="3:9">
      <c r="C802" s="12"/>
      <c r="D802" s="12"/>
      <c r="E802" s="12"/>
      <c r="I802" s="275"/>
    </row>
    <row r="803" spans="3:9">
      <c r="C803" s="12"/>
      <c r="D803" s="12"/>
      <c r="E803" s="12"/>
      <c r="I803" s="275"/>
    </row>
    <row r="804" spans="3:9">
      <c r="C804" s="12"/>
      <c r="D804" s="12"/>
      <c r="E804" s="12"/>
      <c r="I804" s="275"/>
    </row>
    <row r="805" spans="3:9">
      <c r="C805" s="12"/>
      <c r="D805" s="12"/>
      <c r="E805" s="12"/>
      <c r="I805" s="275"/>
    </row>
    <row r="806" spans="3:9">
      <c r="C806" s="12"/>
      <c r="D806" s="12"/>
      <c r="E806" s="12"/>
      <c r="I806" s="275"/>
    </row>
    <row r="807" spans="3:9">
      <c r="C807" s="12"/>
      <c r="D807" s="12"/>
      <c r="E807" s="12"/>
      <c r="I807" s="275"/>
    </row>
    <row r="808" spans="3:9">
      <c r="C808" s="12"/>
      <c r="D808" s="12"/>
      <c r="E808" s="12"/>
      <c r="I808" s="275"/>
    </row>
    <row r="809" spans="3:9">
      <c r="C809" s="12"/>
      <c r="D809" s="12"/>
      <c r="E809" s="12"/>
      <c r="I809" s="275"/>
    </row>
    <row r="810" spans="3:9">
      <c r="C810" s="12"/>
      <c r="D810" s="12"/>
      <c r="E810" s="12"/>
      <c r="I810" s="275"/>
    </row>
    <row r="811" spans="3:9">
      <c r="C811" s="12"/>
      <c r="D811" s="12"/>
      <c r="E811" s="12"/>
      <c r="I811" s="275"/>
    </row>
    <row r="812" spans="3:9">
      <c r="C812" s="12"/>
      <c r="D812" s="12"/>
      <c r="E812" s="12"/>
      <c r="I812" s="275"/>
    </row>
    <row r="813" spans="3:9">
      <c r="C813" s="12"/>
      <c r="D813" s="12"/>
      <c r="E813" s="12"/>
      <c r="I813" s="275"/>
    </row>
    <row r="814" spans="3:9">
      <c r="C814" s="12"/>
      <c r="D814" s="12"/>
      <c r="E814" s="12"/>
      <c r="I814" s="275"/>
    </row>
    <row r="815" spans="3:9">
      <c r="C815" s="12"/>
      <c r="D815" s="12"/>
      <c r="E815" s="12"/>
      <c r="I815" s="275"/>
    </row>
    <row r="816" spans="3:9">
      <c r="C816" s="12"/>
      <c r="D816" s="12"/>
      <c r="E816" s="12"/>
      <c r="I816" s="275"/>
    </row>
    <row r="817" spans="3:9">
      <c r="C817" s="12"/>
      <c r="D817" s="12"/>
      <c r="E817" s="12"/>
      <c r="I817" s="275"/>
    </row>
    <row r="818" spans="3:9">
      <c r="C818" s="12"/>
      <c r="D818" s="12"/>
      <c r="E818" s="12"/>
      <c r="I818" s="275"/>
    </row>
    <row r="819" spans="3:9">
      <c r="C819" s="12"/>
      <c r="D819" s="12"/>
      <c r="E819" s="12"/>
      <c r="I819" s="275"/>
    </row>
    <row r="820" spans="3:9">
      <c r="C820" s="12"/>
      <c r="D820" s="12"/>
      <c r="E820" s="12"/>
      <c r="I820" s="275"/>
    </row>
    <row r="821" spans="3:9">
      <c r="C821" s="12"/>
      <c r="D821" s="12"/>
      <c r="E821" s="12"/>
      <c r="I821" s="275"/>
    </row>
    <row r="822" spans="3:9">
      <c r="C822" s="12"/>
      <c r="D822" s="12"/>
      <c r="E822" s="12"/>
      <c r="I822" s="275"/>
    </row>
    <row r="823" spans="3:9">
      <c r="C823" s="12"/>
      <c r="D823" s="12"/>
      <c r="E823" s="12"/>
      <c r="I823" s="275"/>
    </row>
    <row r="824" spans="3:9">
      <c r="C824" s="12"/>
      <c r="D824" s="12"/>
      <c r="E824" s="12"/>
      <c r="I824" s="275"/>
    </row>
    <row r="825" spans="3:9">
      <c r="C825" s="12"/>
      <c r="D825" s="12"/>
      <c r="E825" s="12"/>
      <c r="I825" s="275"/>
    </row>
    <row r="826" spans="3:9">
      <c r="C826" s="12"/>
      <c r="D826" s="12"/>
      <c r="E826" s="12"/>
      <c r="I826" s="275"/>
    </row>
    <row r="827" spans="3:9">
      <c r="C827" s="12"/>
      <c r="D827" s="12"/>
      <c r="E827" s="12"/>
      <c r="I827" s="275"/>
    </row>
    <row r="828" spans="3:9">
      <c r="C828" s="12"/>
      <c r="D828" s="12"/>
      <c r="E828" s="12"/>
      <c r="I828" s="275"/>
    </row>
    <row r="829" spans="3:9">
      <c r="C829" s="12"/>
      <c r="D829" s="12"/>
      <c r="E829" s="12"/>
      <c r="I829" s="275"/>
    </row>
    <row r="830" spans="3:9">
      <c r="C830" s="12"/>
      <c r="D830" s="12"/>
      <c r="E830" s="12"/>
      <c r="I830" s="275"/>
    </row>
    <row r="831" spans="3:9">
      <c r="C831" s="12"/>
      <c r="D831" s="12"/>
      <c r="E831" s="12"/>
      <c r="I831" s="275"/>
    </row>
    <row r="832" spans="3:9">
      <c r="C832" s="12"/>
      <c r="D832" s="12"/>
      <c r="E832" s="12"/>
      <c r="I832" s="275"/>
    </row>
    <row r="833" spans="3:9">
      <c r="C833" s="12"/>
      <c r="D833" s="12"/>
      <c r="E833" s="12"/>
      <c r="I833" s="275"/>
    </row>
    <row r="834" spans="3:9">
      <c r="C834" s="12"/>
      <c r="D834" s="12"/>
      <c r="E834" s="12"/>
      <c r="I834" s="275"/>
    </row>
    <row r="835" spans="3:9">
      <c r="C835" s="12"/>
      <c r="D835" s="12"/>
      <c r="E835" s="12"/>
      <c r="I835" s="275"/>
    </row>
    <row r="836" spans="3:9">
      <c r="C836" s="12"/>
      <c r="D836" s="12"/>
      <c r="E836" s="12"/>
      <c r="I836" s="275"/>
    </row>
    <row r="837" spans="3:9">
      <c r="C837" s="12"/>
      <c r="D837" s="12"/>
      <c r="E837" s="12"/>
      <c r="I837" s="275"/>
    </row>
    <row r="838" spans="3:9">
      <c r="C838" s="12"/>
      <c r="D838" s="12"/>
      <c r="E838" s="12"/>
      <c r="I838" s="275"/>
    </row>
    <row r="839" spans="3:9">
      <c r="C839" s="12"/>
      <c r="D839" s="12"/>
      <c r="E839" s="12"/>
      <c r="I839" s="275"/>
    </row>
    <row r="840" spans="3:9">
      <c r="C840" s="12"/>
      <c r="D840" s="12"/>
      <c r="E840" s="12"/>
      <c r="I840" s="275"/>
    </row>
    <row r="841" spans="3:9">
      <c r="C841" s="12"/>
      <c r="D841" s="12"/>
      <c r="E841" s="12"/>
      <c r="I841" s="275"/>
    </row>
    <row r="842" spans="3:9">
      <c r="C842" s="12"/>
      <c r="D842" s="12"/>
      <c r="E842" s="12"/>
      <c r="I842" s="275"/>
    </row>
    <row r="843" spans="3:9">
      <c r="C843" s="12"/>
      <c r="D843" s="12"/>
      <c r="E843" s="12"/>
      <c r="I843" s="275"/>
    </row>
    <row r="844" spans="3:9">
      <c r="C844" s="12"/>
      <c r="D844" s="12"/>
      <c r="E844" s="12"/>
      <c r="I844" s="275"/>
    </row>
    <row r="845" spans="3:9">
      <c r="C845" s="12"/>
      <c r="D845" s="12"/>
      <c r="E845" s="12"/>
      <c r="I845" s="275"/>
    </row>
    <row r="846" spans="3:9">
      <c r="C846" s="12"/>
      <c r="D846" s="12"/>
      <c r="E846" s="12"/>
      <c r="I846" s="275"/>
    </row>
    <row r="847" spans="3:9">
      <c r="C847" s="12"/>
      <c r="D847" s="12"/>
      <c r="E847" s="12"/>
      <c r="I847" s="275"/>
    </row>
    <row r="848" spans="3:9">
      <c r="C848" s="12"/>
      <c r="D848" s="12"/>
      <c r="E848" s="12"/>
      <c r="I848" s="275"/>
    </row>
    <row r="849" spans="3:9">
      <c r="C849" s="12"/>
      <c r="D849" s="12"/>
      <c r="E849" s="12"/>
      <c r="I849" s="275"/>
    </row>
    <row r="850" spans="3:9">
      <c r="C850" s="12"/>
      <c r="D850" s="12"/>
      <c r="E850" s="12"/>
      <c r="I850" s="275"/>
    </row>
    <row r="851" spans="3:9">
      <c r="C851" s="12"/>
      <c r="D851" s="12"/>
      <c r="E851" s="12"/>
      <c r="I851" s="275"/>
    </row>
    <row r="852" spans="3:9">
      <c r="C852" s="12"/>
      <c r="D852" s="12"/>
      <c r="E852" s="12"/>
      <c r="I852" s="275"/>
    </row>
    <row r="853" spans="3:9">
      <c r="C853" s="12"/>
      <c r="D853" s="12"/>
      <c r="E853" s="12"/>
      <c r="I853" s="275"/>
    </row>
    <row r="854" spans="3:9">
      <c r="C854" s="12"/>
      <c r="D854" s="12"/>
      <c r="E854" s="12"/>
      <c r="I854" s="275"/>
    </row>
    <row r="855" spans="3:9">
      <c r="C855" s="12"/>
      <c r="D855" s="12"/>
      <c r="E855" s="12"/>
      <c r="I855" s="275"/>
    </row>
    <row r="856" spans="3:9">
      <c r="C856" s="12"/>
      <c r="D856" s="12"/>
      <c r="E856" s="12"/>
      <c r="I856" s="275"/>
    </row>
    <row r="857" spans="3:9">
      <c r="C857" s="12"/>
      <c r="D857" s="12"/>
      <c r="E857" s="12"/>
      <c r="I857" s="275"/>
    </row>
    <row r="858" spans="3:9">
      <c r="C858" s="12"/>
      <c r="D858" s="12"/>
      <c r="E858" s="12"/>
      <c r="I858" s="275"/>
    </row>
    <row r="859" spans="3:9">
      <c r="C859" s="12"/>
      <c r="D859" s="12"/>
      <c r="E859" s="12"/>
      <c r="I859" s="275"/>
    </row>
    <row r="860" spans="3:9">
      <c r="C860" s="12"/>
      <c r="D860" s="12"/>
      <c r="E860" s="12"/>
      <c r="I860" s="275"/>
    </row>
    <row r="861" spans="3:9">
      <c r="C861" s="12"/>
      <c r="D861" s="12"/>
      <c r="E861" s="12"/>
      <c r="I861" s="275"/>
    </row>
    <row r="862" spans="3:9">
      <c r="C862" s="12"/>
      <c r="D862" s="12"/>
      <c r="E862" s="12"/>
      <c r="I862" s="275"/>
    </row>
    <row r="863" spans="3:9">
      <c r="C863" s="12"/>
      <c r="D863" s="12"/>
      <c r="E863" s="12"/>
      <c r="I863" s="275"/>
    </row>
    <row r="864" spans="3:9">
      <c r="C864" s="12"/>
      <c r="D864" s="12"/>
      <c r="E864" s="12"/>
      <c r="I864" s="275"/>
    </row>
    <row r="865" spans="3:9">
      <c r="C865" s="12"/>
      <c r="D865" s="12"/>
      <c r="E865" s="12"/>
      <c r="I865" s="275"/>
    </row>
    <row r="866" spans="3:9">
      <c r="C866" s="12"/>
      <c r="D866" s="12"/>
      <c r="E866" s="12"/>
      <c r="I866" s="275"/>
    </row>
    <row r="867" spans="3:9">
      <c r="C867" s="12"/>
      <c r="D867" s="12"/>
      <c r="E867" s="12"/>
      <c r="I867" s="275"/>
    </row>
    <row r="868" spans="3:9">
      <c r="C868" s="12"/>
      <c r="D868" s="12"/>
      <c r="E868" s="12"/>
      <c r="I868" s="275"/>
    </row>
    <row r="869" spans="3:9">
      <c r="C869" s="12"/>
      <c r="D869" s="12"/>
      <c r="E869" s="12"/>
      <c r="I869" s="275"/>
    </row>
    <row r="870" spans="3:9">
      <c r="C870" s="12"/>
      <c r="D870" s="12"/>
      <c r="E870" s="12"/>
      <c r="I870" s="275"/>
    </row>
    <row r="871" spans="3:9">
      <c r="C871" s="12"/>
      <c r="D871" s="12"/>
      <c r="E871" s="12"/>
      <c r="I871" s="275"/>
    </row>
    <row r="872" spans="3:9">
      <c r="C872" s="12"/>
      <c r="D872" s="12"/>
      <c r="E872" s="12"/>
      <c r="I872" s="275"/>
    </row>
    <row r="873" spans="3:9">
      <c r="C873" s="12"/>
      <c r="D873" s="12"/>
      <c r="E873" s="12"/>
      <c r="I873" s="275"/>
    </row>
    <row r="874" spans="3:9">
      <c r="C874" s="12"/>
      <c r="D874" s="12"/>
      <c r="E874" s="12"/>
      <c r="I874" s="275"/>
    </row>
    <row r="875" spans="3:9">
      <c r="C875" s="12"/>
      <c r="D875" s="12"/>
      <c r="E875" s="12"/>
      <c r="I875" s="275"/>
    </row>
    <row r="876" spans="3:9">
      <c r="C876" s="12"/>
      <c r="D876" s="12"/>
      <c r="E876" s="12"/>
      <c r="I876" s="275"/>
    </row>
    <row r="877" spans="3:9">
      <c r="C877" s="12"/>
      <c r="D877" s="12"/>
      <c r="E877" s="12"/>
      <c r="I877" s="275"/>
    </row>
    <row r="878" spans="3:9">
      <c r="C878" s="12"/>
      <c r="D878" s="12"/>
      <c r="E878" s="12"/>
      <c r="I878" s="275"/>
    </row>
    <row r="879" spans="3:9">
      <c r="C879" s="12"/>
      <c r="D879" s="12"/>
      <c r="E879" s="12"/>
      <c r="I879" s="275"/>
    </row>
    <row r="880" spans="3:9">
      <c r="C880" s="12"/>
      <c r="D880" s="12"/>
      <c r="E880" s="12"/>
      <c r="I880" s="275"/>
    </row>
    <row r="881" spans="3:9">
      <c r="C881" s="12"/>
      <c r="D881" s="12"/>
      <c r="E881" s="12"/>
      <c r="I881" s="275"/>
    </row>
    <row r="882" spans="3:9">
      <c r="C882" s="12"/>
      <c r="D882" s="12"/>
      <c r="E882" s="12"/>
      <c r="I882" s="275"/>
    </row>
    <row r="883" spans="3:9">
      <c r="C883" s="12"/>
      <c r="D883" s="12"/>
      <c r="E883" s="12"/>
      <c r="I883" s="275"/>
    </row>
    <row r="884" spans="3:9">
      <c r="C884" s="12"/>
      <c r="D884" s="12"/>
      <c r="E884" s="12"/>
      <c r="I884" s="275"/>
    </row>
    <row r="885" spans="3:9">
      <c r="C885" s="12"/>
      <c r="D885" s="12"/>
      <c r="E885" s="12"/>
      <c r="I885" s="275"/>
    </row>
    <row r="886" spans="3:9">
      <c r="C886" s="12"/>
      <c r="D886" s="12"/>
      <c r="E886" s="12"/>
      <c r="I886" s="275"/>
    </row>
    <row r="887" spans="3:9">
      <c r="C887" s="12"/>
      <c r="D887" s="12"/>
      <c r="E887" s="12"/>
      <c r="I887" s="275"/>
    </row>
    <row r="888" spans="3:9">
      <c r="C888" s="12"/>
      <c r="D888" s="12"/>
      <c r="E888" s="12"/>
      <c r="I888" s="275"/>
    </row>
    <row r="889" spans="3:9">
      <c r="C889" s="12"/>
      <c r="D889" s="12"/>
      <c r="E889" s="12"/>
      <c r="I889" s="275"/>
    </row>
    <row r="890" spans="3:9">
      <c r="C890" s="12"/>
      <c r="D890" s="12"/>
      <c r="E890" s="12"/>
      <c r="I890" s="275"/>
    </row>
    <row r="891" spans="3:9">
      <c r="C891" s="12"/>
      <c r="D891" s="12"/>
      <c r="E891" s="12"/>
      <c r="I891" s="275"/>
    </row>
    <row r="892" spans="3:9">
      <c r="C892" s="12"/>
      <c r="D892" s="12"/>
      <c r="E892" s="12"/>
      <c r="I892" s="275"/>
    </row>
    <row r="893" spans="3:9">
      <c r="C893" s="12"/>
      <c r="D893" s="12"/>
      <c r="E893" s="12"/>
      <c r="I893" s="275"/>
    </row>
    <row r="894" spans="3:9">
      <c r="C894" s="12"/>
      <c r="D894" s="12"/>
      <c r="E894" s="12"/>
      <c r="I894" s="275"/>
    </row>
    <row r="895" spans="3:9">
      <c r="C895" s="12"/>
      <c r="D895" s="12"/>
      <c r="E895" s="12"/>
      <c r="I895" s="275"/>
    </row>
    <row r="896" spans="3:9">
      <c r="C896" s="12"/>
      <c r="D896" s="12"/>
      <c r="E896" s="12"/>
      <c r="I896" s="275"/>
    </row>
    <row r="897" spans="3:9">
      <c r="C897" s="12"/>
      <c r="D897" s="12"/>
      <c r="E897" s="12"/>
      <c r="I897" s="275"/>
    </row>
    <row r="898" spans="3:9">
      <c r="C898" s="12"/>
      <c r="D898" s="12"/>
      <c r="E898" s="12"/>
      <c r="I898" s="275"/>
    </row>
    <row r="899" spans="3:9">
      <c r="C899" s="12"/>
      <c r="D899" s="12"/>
      <c r="E899" s="12"/>
      <c r="I899" s="275"/>
    </row>
    <row r="900" spans="3:9">
      <c r="C900" s="12"/>
      <c r="D900" s="12"/>
      <c r="E900" s="12"/>
      <c r="I900" s="275"/>
    </row>
    <row r="901" spans="3:9">
      <c r="C901" s="12"/>
      <c r="D901" s="12"/>
      <c r="E901" s="12"/>
      <c r="I901" s="275"/>
    </row>
    <row r="902" spans="3:9">
      <c r="C902" s="12"/>
      <c r="D902" s="12"/>
      <c r="E902" s="12"/>
      <c r="I902" s="275"/>
    </row>
    <row r="903" spans="3:9">
      <c r="C903" s="12"/>
      <c r="D903" s="12"/>
      <c r="E903" s="12"/>
      <c r="I903" s="275"/>
    </row>
    <row r="904" spans="3:9">
      <c r="C904" s="12"/>
      <c r="D904" s="12"/>
      <c r="E904" s="12"/>
      <c r="I904" s="275"/>
    </row>
    <row r="905" spans="3:9">
      <c r="C905" s="12"/>
      <c r="D905" s="12"/>
      <c r="E905" s="12"/>
      <c r="I905" s="275"/>
    </row>
    <row r="906" spans="3:9">
      <c r="C906" s="12"/>
      <c r="D906" s="12"/>
      <c r="E906" s="12"/>
      <c r="I906" s="275"/>
    </row>
    <row r="907" spans="3:9">
      <c r="C907" s="12"/>
      <c r="D907" s="12"/>
      <c r="E907" s="12"/>
      <c r="I907" s="275"/>
    </row>
    <row r="908" spans="3:9">
      <c r="C908" s="12"/>
      <c r="D908" s="12"/>
      <c r="E908" s="12"/>
      <c r="I908" s="275"/>
    </row>
    <row r="909" spans="3:9">
      <c r="C909" s="12"/>
      <c r="D909" s="12"/>
      <c r="E909" s="12"/>
      <c r="I909" s="275"/>
    </row>
    <row r="910" spans="3:9">
      <c r="C910" s="12"/>
      <c r="D910" s="12"/>
      <c r="E910" s="12"/>
      <c r="I910" s="275"/>
    </row>
    <row r="911" spans="3:9">
      <c r="C911" s="12"/>
      <c r="D911" s="12"/>
      <c r="E911" s="12"/>
      <c r="I911" s="275"/>
    </row>
    <row r="912" spans="3:9">
      <c r="C912" s="12"/>
      <c r="D912" s="12"/>
      <c r="E912" s="12"/>
      <c r="I912" s="275"/>
    </row>
    <row r="913" spans="3:9">
      <c r="C913" s="12"/>
      <c r="D913" s="12"/>
      <c r="E913" s="12"/>
      <c r="I913" s="275"/>
    </row>
    <row r="914" spans="3:9">
      <c r="C914" s="12"/>
      <c r="D914" s="12"/>
      <c r="E914" s="12"/>
      <c r="I914" s="275"/>
    </row>
    <row r="915" spans="3:9">
      <c r="C915" s="12"/>
      <c r="D915" s="12"/>
      <c r="E915" s="12"/>
      <c r="I915" s="275"/>
    </row>
    <row r="916" spans="3:9">
      <c r="C916" s="12"/>
      <c r="D916" s="12"/>
      <c r="E916" s="12"/>
      <c r="I916" s="275"/>
    </row>
    <row r="917" spans="3:9">
      <c r="C917" s="12"/>
      <c r="D917" s="12"/>
      <c r="E917" s="12"/>
      <c r="I917" s="275"/>
    </row>
    <row r="918" spans="3:9">
      <c r="C918" s="12"/>
      <c r="D918" s="12"/>
      <c r="E918" s="12"/>
      <c r="I918" s="275"/>
    </row>
    <row r="919" spans="3:9">
      <c r="C919" s="12"/>
      <c r="D919" s="12"/>
      <c r="E919" s="12"/>
      <c r="I919" s="275"/>
    </row>
    <row r="920" spans="3:9">
      <c r="C920" s="12"/>
      <c r="D920" s="12"/>
      <c r="E920" s="12"/>
      <c r="I920" s="275"/>
    </row>
    <row r="921" spans="3:9">
      <c r="C921" s="12"/>
      <c r="D921" s="12"/>
      <c r="E921" s="12"/>
      <c r="I921" s="275"/>
    </row>
    <row r="922" spans="3:9">
      <c r="C922" s="12"/>
      <c r="D922" s="12"/>
      <c r="E922" s="12"/>
      <c r="I922" s="275"/>
    </row>
    <row r="923" spans="3:9">
      <c r="C923" s="12"/>
      <c r="D923" s="12"/>
      <c r="E923" s="12"/>
      <c r="I923" s="275"/>
    </row>
    <row r="924" spans="3:9">
      <c r="C924" s="12"/>
      <c r="D924" s="12"/>
      <c r="E924" s="12"/>
      <c r="I924" s="275"/>
    </row>
    <row r="925" spans="3:9">
      <c r="C925" s="12"/>
      <c r="D925" s="12"/>
      <c r="E925" s="12"/>
      <c r="I925" s="275"/>
    </row>
    <row r="926" spans="3:9">
      <c r="C926" s="12"/>
      <c r="D926" s="12"/>
      <c r="E926" s="12"/>
      <c r="I926" s="275"/>
    </row>
    <row r="927" spans="3:9">
      <c r="C927" s="12"/>
      <c r="D927" s="12"/>
      <c r="E927" s="12"/>
      <c r="I927" s="275"/>
    </row>
    <row r="928" spans="3:9">
      <c r="C928" s="12"/>
      <c r="D928" s="12"/>
      <c r="E928" s="12"/>
      <c r="I928" s="275"/>
    </row>
    <row r="929" spans="3:9">
      <c r="C929" s="12"/>
      <c r="D929" s="12"/>
      <c r="E929" s="12"/>
      <c r="I929" s="275"/>
    </row>
    <row r="930" spans="3:9">
      <c r="C930" s="12"/>
      <c r="D930" s="12"/>
      <c r="E930" s="12"/>
      <c r="I930" s="275"/>
    </row>
    <row r="931" spans="3:9">
      <c r="C931" s="12"/>
      <c r="D931" s="12"/>
      <c r="E931" s="12"/>
      <c r="I931" s="275"/>
    </row>
    <row r="932" spans="3:9">
      <c r="C932" s="12"/>
      <c r="D932" s="12"/>
      <c r="E932" s="12"/>
      <c r="I932" s="275"/>
    </row>
    <row r="933" spans="3:9">
      <c r="C933" s="12"/>
      <c r="D933" s="12"/>
      <c r="E933" s="12"/>
      <c r="I933" s="275"/>
    </row>
    <row r="934" spans="3:9">
      <c r="C934" s="12"/>
      <c r="D934" s="12"/>
      <c r="E934" s="12"/>
      <c r="I934" s="275"/>
    </row>
    <row r="935" spans="3:9">
      <c r="C935" s="12"/>
      <c r="D935" s="12"/>
      <c r="E935" s="12"/>
      <c r="I935" s="275"/>
    </row>
    <row r="936" spans="3:9">
      <c r="C936" s="12"/>
      <c r="D936" s="12"/>
      <c r="E936" s="12"/>
      <c r="I936" s="275"/>
    </row>
    <row r="937" spans="3:9">
      <c r="C937" s="12"/>
      <c r="D937" s="12"/>
      <c r="E937" s="12"/>
      <c r="I937" s="275"/>
    </row>
    <row r="938" spans="3:9">
      <c r="C938" s="12"/>
      <c r="D938" s="12"/>
      <c r="E938" s="12"/>
      <c r="I938" s="275"/>
    </row>
    <row r="939" spans="3:9">
      <c r="C939" s="12"/>
      <c r="D939" s="12"/>
      <c r="E939" s="12"/>
      <c r="I939" s="275"/>
    </row>
    <row r="940" spans="3:9">
      <c r="C940" s="12"/>
      <c r="D940" s="12"/>
      <c r="E940" s="12"/>
      <c r="I940" s="275"/>
    </row>
    <row r="941" spans="3:9">
      <c r="C941" s="12"/>
      <c r="D941" s="12"/>
      <c r="E941" s="12"/>
      <c r="I941" s="275"/>
    </row>
    <row r="942" spans="3:9">
      <c r="C942" s="12"/>
      <c r="D942" s="12"/>
      <c r="E942" s="12"/>
      <c r="I942" s="275"/>
    </row>
    <row r="943" spans="3:9">
      <c r="C943" s="12"/>
      <c r="D943" s="12"/>
      <c r="E943" s="12"/>
      <c r="I943" s="275"/>
    </row>
    <row r="944" spans="3:9">
      <c r="C944" s="12"/>
      <c r="D944" s="12"/>
      <c r="E944" s="12"/>
      <c r="I944" s="275"/>
    </row>
    <row r="945" spans="3:9">
      <c r="C945" s="12"/>
      <c r="D945" s="12"/>
      <c r="E945" s="12"/>
      <c r="I945" s="275"/>
    </row>
    <row r="946" spans="3:9">
      <c r="C946" s="12"/>
      <c r="D946" s="12"/>
      <c r="E946" s="12"/>
      <c r="I946" s="275"/>
    </row>
    <row r="947" spans="3:9">
      <c r="C947" s="12"/>
      <c r="D947" s="12"/>
      <c r="E947" s="12"/>
      <c r="I947" s="275"/>
    </row>
    <row r="948" spans="3:9">
      <c r="C948" s="12"/>
      <c r="D948" s="12"/>
      <c r="E948" s="12"/>
      <c r="I948" s="275"/>
    </row>
    <row r="949" spans="3:9">
      <c r="C949" s="12"/>
      <c r="D949" s="12"/>
      <c r="E949" s="12"/>
      <c r="I949" s="275"/>
    </row>
    <row r="950" spans="3:9">
      <c r="C950" s="12"/>
      <c r="D950" s="12"/>
      <c r="E950" s="12"/>
      <c r="I950" s="275"/>
    </row>
    <row r="951" spans="3:9">
      <c r="C951" s="12"/>
      <c r="D951" s="12"/>
      <c r="E951" s="12"/>
      <c r="I951" s="275"/>
    </row>
    <row r="952" spans="3:9">
      <c r="C952" s="12"/>
      <c r="D952" s="12"/>
      <c r="E952" s="12"/>
      <c r="I952" s="275"/>
    </row>
    <row r="953" spans="3:9">
      <c r="C953" s="12"/>
      <c r="D953" s="12"/>
      <c r="E953" s="12"/>
      <c r="I953" s="275"/>
    </row>
    <row r="954" spans="3:9">
      <c r="C954" s="12"/>
      <c r="D954" s="12"/>
      <c r="E954" s="12"/>
      <c r="I954" s="275"/>
    </row>
    <row r="955" spans="3:9">
      <c r="C955" s="12"/>
      <c r="D955" s="12"/>
      <c r="E955" s="12"/>
      <c r="I955" s="275"/>
    </row>
    <row r="956" spans="3:9">
      <c r="C956" s="12"/>
      <c r="D956" s="12"/>
      <c r="E956" s="12"/>
      <c r="I956" s="275"/>
    </row>
    <row r="957" spans="3:9">
      <c r="C957" s="12"/>
      <c r="D957" s="12"/>
      <c r="E957" s="12"/>
      <c r="I957" s="275"/>
    </row>
    <row r="958" spans="3:9">
      <c r="C958" s="12"/>
      <c r="D958" s="12"/>
      <c r="E958" s="12"/>
      <c r="I958" s="275"/>
    </row>
    <row r="959" spans="3:9">
      <c r="C959" s="12"/>
      <c r="D959" s="12"/>
      <c r="E959" s="12"/>
      <c r="I959" s="275"/>
    </row>
    <row r="960" spans="3:9">
      <c r="C960" s="12"/>
      <c r="D960" s="12"/>
      <c r="E960" s="12"/>
      <c r="I960" s="275"/>
    </row>
    <row r="961" spans="3:9">
      <c r="C961" s="12"/>
      <c r="D961" s="12"/>
      <c r="E961" s="12"/>
      <c r="I961" s="275"/>
    </row>
    <row r="962" spans="3:9">
      <c r="C962" s="12"/>
      <c r="D962" s="12"/>
      <c r="E962" s="12"/>
      <c r="I962" s="275"/>
    </row>
    <row r="963" spans="3:9">
      <c r="C963" s="12"/>
      <c r="D963" s="12"/>
      <c r="E963" s="12"/>
      <c r="I963" s="275"/>
    </row>
    <row r="964" spans="3:9">
      <c r="C964" s="12"/>
      <c r="D964" s="12"/>
      <c r="E964" s="12"/>
      <c r="I964" s="275"/>
    </row>
    <row r="965" spans="3:9">
      <c r="C965" s="12"/>
      <c r="D965" s="12"/>
      <c r="E965" s="12"/>
      <c r="I965" s="275"/>
    </row>
    <row r="966" spans="3:9">
      <c r="C966" s="12"/>
      <c r="D966" s="12"/>
      <c r="E966" s="12"/>
      <c r="I966" s="275"/>
    </row>
    <row r="967" spans="3:9">
      <c r="C967" s="12"/>
      <c r="D967" s="12"/>
      <c r="E967" s="12"/>
      <c r="I967" s="275"/>
    </row>
    <row r="968" spans="3:9">
      <c r="C968" s="12"/>
      <c r="D968" s="12"/>
      <c r="E968" s="12"/>
      <c r="I968" s="275"/>
    </row>
    <row r="969" spans="3:9">
      <c r="C969" s="12"/>
      <c r="D969" s="12"/>
      <c r="E969" s="12"/>
      <c r="I969" s="275"/>
    </row>
    <row r="970" spans="3:9">
      <c r="C970" s="12"/>
      <c r="D970" s="12"/>
      <c r="E970" s="12"/>
      <c r="I970" s="275"/>
    </row>
    <row r="971" spans="3:9">
      <c r="C971" s="12"/>
      <c r="D971" s="12"/>
      <c r="E971" s="12"/>
      <c r="I971" s="275"/>
    </row>
    <row r="972" spans="3:9">
      <c r="C972" s="12"/>
      <c r="D972" s="12"/>
      <c r="E972" s="12"/>
      <c r="I972" s="275"/>
    </row>
    <row r="973" spans="3:9">
      <c r="C973" s="12"/>
      <c r="D973" s="12"/>
      <c r="E973" s="12"/>
      <c r="I973" s="275"/>
    </row>
    <row r="974" spans="3:9">
      <c r="C974" s="12"/>
      <c r="D974" s="12"/>
      <c r="E974" s="12"/>
      <c r="I974" s="275"/>
    </row>
    <row r="975" spans="3:9">
      <c r="C975" s="12"/>
      <c r="D975" s="12"/>
      <c r="E975" s="12"/>
      <c r="I975" s="275"/>
    </row>
    <row r="976" spans="3:9">
      <c r="C976" s="12"/>
      <c r="D976" s="12"/>
      <c r="E976" s="12"/>
      <c r="I976" s="275"/>
    </row>
    <row r="977" spans="3:9">
      <c r="C977" s="12"/>
      <c r="D977" s="12"/>
      <c r="E977" s="12"/>
      <c r="I977" s="275"/>
    </row>
    <row r="978" spans="3:9">
      <c r="C978" s="12"/>
      <c r="D978" s="12"/>
      <c r="E978" s="12"/>
      <c r="I978" s="275"/>
    </row>
    <row r="979" spans="3:9">
      <c r="C979" s="12"/>
      <c r="D979" s="12"/>
      <c r="E979" s="12"/>
      <c r="I979" s="275"/>
    </row>
    <row r="980" spans="3:9">
      <c r="C980" s="12"/>
      <c r="D980" s="12"/>
      <c r="E980" s="12"/>
      <c r="I980" s="275"/>
    </row>
    <row r="981" spans="3:9">
      <c r="C981" s="12"/>
      <c r="D981" s="12"/>
      <c r="E981" s="12"/>
      <c r="I981" s="275"/>
    </row>
    <row r="982" spans="3:9">
      <c r="C982" s="12"/>
      <c r="D982" s="12"/>
      <c r="E982" s="12"/>
      <c r="I982" s="275"/>
    </row>
    <row r="983" spans="3:9">
      <c r="C983" s="12"/>
      <c r="D983" s="12"/>
      <c r="E983" s="12"/>
      <c r="I983" s="275"/>
    </row>
    <row r="984" spans="3:9">
      <c r="C984" s="12"/>
      <c r="D984" s="12"/>
      <c r="E984" s="12"/>
      <c r="I984" s="275"/>
    </row>
    <row r="985" spans="3:9">
      <c r="C985" s="12"/>
      <c r="D985" s="12"/>
      <c r="E985" s="12"/>
      <c r="I985" s="275"/>
    </row>
    <row r="986" spans="3:9">
      <c r="C986" s="12"/>
      <c r="D986" s="12"/>
      <c r="E986" s="12"/>
      <c r="I986" s="275"/>
    </row>
    <row r="987" spans="3:9">
      <c r="C987" s="12"/>
      <c r="D987" s="12"/>
      <c r="E987" s="12"/>
      <c r="I987" s="275"/>
    </row>
    <row r="988" spans="3:9">
      <c r="C988" s="12"/>
      <c r="D988" s="12"/>
      <c r="E988" s="12"/>
      <c r="I988" s="275"/>
    </row>
    <row r="989" spans="3:9">
      <c r="C989" s="12"/>
      <c r="D989" s="12"/>
      <c r="E989" s="12"/>
      <c r="I989" s="275"/>
    </row>
    <row r="990" spans="3:9">
      <c r="C990" s="12"/>
      <c r="D990" s="12"/>
      <c r="E990" s="12"/>
      <c r="I990" s="275"/>
    </row>
    <row r="991" spans="3:9">
      <c r="C991" s="12"/>
      <c r="D991" s="12"/>
      <c r="E991" s="12"/>
      <c r="I991" s="275"/>
    </row>
    <row r="992" spans="3:9">
      <c r="C992" s="12"/>
      <c r="D992" s="12"/>
      <c r="E992" s="12"/>
      <c r="I992" s="275"/>
    </row>
    <row r="993" spans="3:9">
      <c r="C993" s="12"/>
      <c r="D993" s="12"/>
      <c r="E993" s="12"/>
      <c r="I993" s="275"/>
    </row>
    <row r="994" spans="3:9">
      <c r="C994" s="12"/>
      <c r="D994" s="12"/>
      <c r="E994" s="12"/>
      <c r="I994" s="275"/>
    </row>
    <row r="995" spans="3:9">
      <c r="C995" s="12"/>
      <c r="D995" s="12"/>
      <c r="E995" s="12"/>
      <c r="I995" s="275"/>
    </row>
    <row r="996" spans="3:9">
      <c r="C996" s="12"/>
      <c r="D996" s="12"/>
      <c r="E996" s="12"/>
      <c r="I996" s="275"/>
    </row>
    <row r="997" spans="3:9">
      <c r="C997" s="12"/>
      <c r="D997" s="12"/>
      <c r="E997" s="12"/>
      <c r="I997" s="275"/>
    </row>
    <row r="998" spans="3:9">
      <c r="C998" s="12"/>
      <c r="D998" s="12"/>
      <c r="E998" s="12"/>
      <c r="I998" s="275"/>
    </row>
    <row r="999" spans="3:9">
      <c r="C999" s="12"/>
      <c r="D999" s="12"/>
      <c r="E999" s="12"/>
      <c r="I999" s="275"/>
    </row>
    <row r="1000" spans="3:9">
      <c r="C1000" s="12"/>
      <c r="D1000" s="12"/>
      <c r="E1000" s="12"/>
      <c r="I1000" s="275"/>
    </row>
  </sheetData>
  <mergeCells count="1">
    <mergeCell ref="C1:G1"/>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8"/>
  <sheetViews>
    <sheetView workbookViewId="0"/>
  </sheetViews>
  <sheetFormatPr defaultColWidth="12.5703125" defaultRowHeight="15.75" customHeight="1"/>
  <cols>
    <col min="1" max="13" width="5.140625" customWidth="1"/>
    <col min="14" max="14" width="20.5703125" customWidth="1"/>
  </cols>
  <sheetData>
    <row r="1" spans="1:14">
      <c r="A1" s="276"/>
      <c r="B1" s="503" t="s">
        <v>1035</v>
      </c>
      <c r="C1" s="294"/>
      <c r="D1" s="294"/>
      <c r="E1" s="294"/>
      <c r="F1" s="294"/>
      <c r="G1" s="294"/>
      <c r="H1" s="294"/>
      <c r="I1" s="294"/>
      <c r="J1" s="294"/>
      <c r="K1" s="277"/>
      <c r="L1" s="277"/>
      <c r="M1" s="277"/>
      <c r="N1" s="276"/>
    </row>
    <row r="2" spans="1:14">
      <c r="A2" s="276"/>
      <c r="B2" s="278" t="str">
        <f>'Anotações Gerais'!C1</f>
        <v>Claudinei Rogério Gasparoto</v>
      </c>
      <c r="C2" s="278">
        <f>'Anotações Gerais'!C3</f>
        <v>0</v>
      </c>
      <c r="D2" s="278">
        <f>'Anotações Gerais'!C5</f>
        <v>0</v>
      </c>
      <c r="E2" s="278">
        <f>'Anotações Gerais'!C6</f>
        <v>0</v>
      </c>
      <c r="F2" s="278">
        <f>'Anotações Gerais'!A9</f>
        <v>0</v>
      </c>
      <c r="G2" s="278">
        <f>'Anotações Gerais'!B9</f>
        <v>0</v>
      </c>
      <c r="H2" s="278">
        <f>'Anotações Gerais'!C9</f>
        <v>0</v>
      </c>
      <c r="I2" s="279" t="str">
        <f>'Dados de Base novo'!G2</f>
        <v>Claudinei Rogério Gasparoto</v>
      </c>
      <c r="J2" s="280">
        <f ca="1">'Dados de Base novo'!F10</f>
        <v>10</v>
      </c>
      <c r="K2" s="280" t="str">
        <f ca="1">'Dados de Base novo'!H10</f>
        <v>-</v>
      </c>
      <c r="M2" s="278"/>
      <c r="N2" s="34" t="s">
        <v>1036</v>
      </c>
    </row>
    <row r="3" spans="1:14">
      <c r="A3" s="276"/>
      <c r="B3" s="278">
        <f>'Anotações Gerais'!A10</f>
        <v>0</v>
      </c>
      <c r="C3" s="278">
        <f>'Anotações Gerais'!B10</f>
        <v>0</v>
      </c>
      <c r="D3" s="278">
        <f>'Anotações Gerais'!C10</f>
        <v>0</v>
      </c>
      <c r="E3" s="278">
        <f>'Anotações Gerais'!A11</f>
        <v>0</v>
      </c>
      <c r="F3" s="278">
        <f>'Anotações Gerais'!B11</f>
        <v>0</v>
      </c>
      <c r="G3" s="278">
        <f>'Anotações Gerais'!C11</f>
        <v>0</v>
      </c>
      <c r="H3" s="278">
        <f>'Anotações Gerais'!A28</f>
        <v>0</v>
      </c>
      <c r="I3" s="281" t="str">
        <f ca="1">'Dados de Base novo'!G3</f>
        <v>Última Avaliação: 08/10/2025</v>
      </c>
      <c r="J3" s="280">
        <f ca="1">'Dados de Base novo'!F11</f>
        <v>10.5</v>
      </c>
      <c r="K3" s="280" t="str">
        <f ca="1">'Dados de Base novo'!H11</f>
        <v>-</v>
      </c>
      <c r="M3" s="282"/>
      <c r="N3" s="34" t="s">
        <v>2</v>
      </c>
    </row>
    <row r="4" spans="1:14">
      <c r="A4" s="276"/>
      <c r="B4" s="278">
        <f>'Anotações Gerais'!A12</f>
        <v>0</v>
      </c>
      <c r="C4" s="278">
        <f>'Anotações Gerais'!B12</f>
        <v>0</v>
      </c>
      <c r="D4" s="278">
        <f>'Anotações Gerais'!C12</f>
        <v>0</v>
      </c>
      <c r="E4" s="278">
        <f>'Anotações Gerais'!A13</f>
        <v>0</v>
      </c>
      <c r="F4" s="278">
        <f>'Anotações Gerais'!B13</f>
        <v>0</v>
      </c>
      <c r="G4" s="278">
        <f>'Anotações Gerais'!C13</f>
        <v>0</v>
      </c>
      <c r="H4" s="278">
        <f>'Anotações Gerais'!A29</f>
        <v>0</v>
      </c>
      <c r="I4" s="279">
        <f ca="1">'Dados de Base novo'!D6</f>
        <v>60.46</v>
      </c>
      <c r="J4" s="280">
        <f ca="1">'Dados de Base novo'!F12</f>
        <v>10.9</v>
      </c>
      <c r="K4" s="280" t="str">
        <f ca="1">'Dados de Base novo'!H12</f>
        <v>-</v>
      </c>
      <c r="M4" s="279"/>
      <c r="N4" s="34" t="s">
        <v>929</v>
      </c>
    </row>
    <row r="5" spans="1:14">
      <c r="A5" s="276"/>
      <c r="B5" s="278">
        <f>'Anotações Gerais'!A14</f>
        <v>0</v>
      </c>
      <c r="C5" s="278">
        <f>'Anotações Gerais'!B14</f>
        <v>0</v>
      </c>
      <c r="D5" s="278">
        <f>'Anotações Gerais'!C14</f>
        <v>0</v>
      </c>
      <c r="E5" s="283">
        <f>'Anotações Gerais'!A15</f>
        <v>45933</v>
      </c>
      <c r="F5" s="283">
        <f>'Anotações Gerais'!B15</f>
        <v>0</v>
      </c>
      <c r="G5" s="278">
        <f>'Anotações Gerais'!C15</f>
        <v>0</v>
      </c>
      <c r="H5" s="278">
        <f>'Anotações Gerais'!A30</f>
        <v>0</v>
      </c>
      <c r="I5" s="284">
        <f ca="1">'Dados de Base novo'!D7</f>
        <v>17.274285714285714</v>
      </c>
      <c r="J5" s="280">
        <f ca="1">'Dados de Base novo'!F13</f>
        <v>11.8</v>
      </c>
      <c r="K5" s="280" t="str">
        <f ca="1">'Dados de Base novo'!H13</f>
        <v>-</v>
      </c>
      <c r="M5" s="285"/>
      <c r="N5" s="34" t="s">
        <v>1037</v>
      </c>
    </row>
    <row r="6" spans="1:14">
      <c r="A6" s="276"/>
      <c r="B6" s="278">
        <f>'Anotações Gerais'!A16</f>
        <v>0</v>
      </c>
      <c r="C6" s="278">
        <f>'Anotações Gerais'!B16</f>
        <v>0</v>
      </c>
      <c r="D6" s="278">
        <f>'Anotações Gerais'!C16</f>
        <v>0</v>
      </c>
      <c r="E6" s="286">
        <f>'Anotações Gerais'!A17</f>
        <v>45938</v>
      </c>
      <c r="F6" s="278">
        <f>'Anotações Gerais'!B17</f>
        <v>0</v>
      </c>
      <c r="G6" s="278">
        <f>'Anotações Gerais'!C17</f>
        <v>0</v>
      </c>
      <c r="H6" s="278">
        <f>'Anotações Gerais'!B28</f>
        <v>0</v>
      </c>
      <c r="I6" s="280" t="e">
        <f ca="1">'Dados de Base novo'!F5</f>
        <v>#VALUE!</v>
      </c>
      <c r="J6" s="280">
        <f ca="1">'Dados de Base novo'!F14</f>
        <v>12.7</v>
      </c>
      <c r="K6" s="280" t="str">
        <f ca="1">'Dados de Base novo'!H14</f>
        <v>-</v>
      </c>
      <c r="N6" s="276"/>
    </row>
    <row r="7" spans="1:14">
      <c r="A7" s="276"/>
      <c r="B7" s="278">
        <f>'Anotações Gerais'!A18</f>
        <v>0</v>
      </c>
      <c r="C7" s="278">
        <f>'Anotações Gerais'!B18</f>
        <v>0</v>
      </c>
      <c r="D7" s="278">
        <f>'Anotações Gerais'!C18</f>
        <v>0</v>
      </c>
      <c r="E7" s="278">
        <f>'Anotações Gerais'!A19</f>
        <v>0</v>
      </c>
      <c r="F7" s="278">
        <f>'Anotações Gerais'!B19</f>
        <v>0</v>
      </c>
      <c r="G7" s="278">
        <f>'Anotações Gerais'!C19</f>
        <v>0</v>
      </c>
      <c r="H7" s="278">
        <f>'Anotações Gerais'!B29</f>
        <v>0</v>
      </c>
      <c r="I7" s="279">
        <f ca="1">'Dados de Base novo'!F6</f>
        <v>51</v>
      </c>
      <c r="J7" s="280">
        <f ca="1">'Dados de Base novo'!F15</f>
        <v>13.6</v>
      </c>
      <c r="K7" s="280" t="str">
        <f ca="1">'Dados de Base novo'!H15</f>
        <v>-</v>
      </c>
      <c r="N7" s="276"/>
    </row>
    <row r="8" spans="1:14">
      <c r="A8" s="276"/>
      <c r="B8" s="287">
        <f>'Anotações Gerais'!A20</f>
        <v>46064</v>
      </c>
      <c r="C8" s="278">
        <f>'Anotações Gerais'!B20</f>
        <v>0</v>
      </c>
      <c r="D8" s="278">
        <f>'Anotações Gerais'!C20</f>
        <v>0</v>
      </c>
      <c r="E8" s="278">
        <f>'Anotações Gerais'!A21</f>
        <v>0</v>
      </c>
      <c r="F8" s="278">
        <f>'Anotações Gerais'!B21</f>
        <v>0</v>
      </c>
      <c r="G8" s="278">
        <f>'Anotações Gerais'!C21</f>
        <v>0</v>
      </c>
      <c r="H8" s="278">
        <f>'Anotações Gerais'!B30</f>
        <v>0</v>
      </c>
      <c r="I8" s="279">
        <f ca="1">'Dados de Base novo'!F7</f>
        <v>150</v>
      </c>
      <c r="J8" s="280">
        <f ca="1">'Dados de Base novo'!F16</f>
        <v>14.5</v>
      </c>
      <c r="K8" s="280" t="str">
        <f ca="1">'Dados de Base novo'!H16</f>
        <v>-</v>
      </c>
      <c r="N8" s="276"/>
    </row>
    <row r="9" spans="1:14">
      <c r="A9" s="276"/>
      <c r="B9" s="278">
        <f>'Anotações Gerais'!A22</f>
        <v>0</v>
      </c>
      <c r="C9" s="278">
        <f>'Anotações Gerais'!B22</f>
        <v>0</v>
      </c>
      <c r="D9" s="278">
        <f>'Anotações Gerais'!C22</f>
        <v>0</v>
      </c>
      <c r="E9" s="278">
        <f>'Anotações Gerais'!A23</f>
        <v>0</v>
      </c>
      <c r="F9" s="278">
        <f>'Anotações Gerais'!B23</f>
        <v>0</v>
      </c>
      <c r="G9" s="278">
        <f>'Anotações Gerais'!C23</f>
        <v>0</v>
      </c>
      <c r="H9" s="278">
        <f>'Anotações Gerais'!C28</f>
        <v>0</v>
      </c>
      <c r="I9" s="280" t="e">
        <f ca="1">'Dados de Base novo'!H5</f>
        <v>#VALUE!</v>
      </c>
      <c r="J9" s="280">
        <f ca="1">'Dados de Base novo'!F17</f>
        <v>15.4</v>
      </c>
      <c r="K9" s="280" t="str">
        <f ca="1">'Dados de Base novo'!H17</f>
        <v>-</v>
      </c>
      <c r="M9" s="276"/>
      <c r="N9" s="276"/>
    </row>
    <row r="10" spans="1:14">
      <c r="A10" s="276"/>
      <c r="B10" s="278">
        <f>'Anotações Gerais'!A24</f>
        <v>0</v>
      </c>
      <c r="C10" s="278">
        <f>'Anotações Gerais'!B24</f>
        <v>0</v>
      </c>
      <c r="D10" s="278">
        <f>'Anotações Gerais'!C24</f>
        <v>0</v>
      </c>
      <c r="E10" s="278">
        <f>'Anotações Gerais'!A25</f>
        <v>0</v>
      </c>
      <c r="F10" s="278">
        <f>'Anotações Gerais'!B25</f>
        <v>0</v>
      </c>
      <c r="G10" s="278">
        <f>'Anotações Gerais'!C25</f>
        <v>0</v>
      </c>
      <c r="H10" s="278">
        <f>'Anotações Gerais'!C29</f>
        <v>0</v>
      </c>
      <c r="I10" s="279">
        <f ca="1">'Dados de Base novo'!H6</f>
        <v>15</v>
      </c>
      <c r="J10" s="280">
        <f ca="1">'Dados de Base novo'!F18</f>
        <v>16.3</v>
      </c>
      <c r="K10" s="280" t="str">
        <f ca="1">'Dados de Base novo'!H18</f>
        <v>-</v>
      </c>
      <c r="M10" s="276"/>
      <c r="N10" s="276"/>
    </row>
    <row r="11" spans="1:14">
      <c r="A11" s="276"/>
      <c r="B11" s="278">
        <f>'Anotações Gerais'!A26</f>
        <v>0</v>
      </c>
      <c r="C11" s="278">
        <f>'Anotações Gerais'!B26</f>
        <v>0</v>
      </c>
      <c r="D11" s="278">
        <f>'Anotações Gerais'!C26</f>
        <v>0</v>
      </c>
      <c r="E11" s="278">
        <f>'Anotações Gerais'!A27</f>
        <v>0</v>
      </c>
      <c r="F11" s="278">
        <f>'Anotações Gerais'!B27</f>
        <v>0</v>
      </c>
      <c r="G11" s="278">
        <f>'Anotações Gerais'!C27</f>
        <v>0</v>
      </c>
      <c r="H11" s="278">
        <f>'Anotações Gerais'!C30</f>
        <v>0</v>
      </c>
      <c r="I11" s="288">
        <f ca="1">'Dados de Base novo'!H7</f>
        <v>138</v>
      </c>
      <c r="J11" s="280">
        <f ca="1">'Dados de Base novo'!F19</f>
        <v>17.2</v>
      </c>
      <c r="K11" s="280" t="str">
        <f ca="1">'Dados de Base novo'!H19</f>
        <v>-</v>
      </c>
      <c r="M11" s="276"/>
      <c r="N11" s="276"/>
    </row>
    <row r="12" spans="1:14">
      <c r="A12" s="276"/>
      <c r="B12" s="282">
        <f>'Anotações Gerais'!F3</f>
        <v>0</v>
      </c>
      <c r="C12" s="282">
        <f>'Anotações Gerais'!G3</f>
        <v>0</v>
      </c>
      <c r="D12" s="282">
        <f>'Anotações Gerais'!H3</f>
        <v>0</v>
      </c>
      <c r="E12" s="282">
        <f>'Anotações Gerais'!I3</f>
        <v>0</v>
      </c>
      <c r="F12" s="282">
        <f>'Anotações Gerais'!J3</f>
        <v>0</v>
      </c>
      <c r="G12" s="282">
        <f>'Anotações Gerais'!K3</f>
        <v>0</v>
      </c>
      <c r="H12" s="282">
        <f>'Anotações Gerais'!L3</f>
        <v>0</v>
      </c>
      <c r="I12" s="280" t="e">
        <f ca="1">'Dados de Base novo'!J5</f>
        <v>#VALUE!</v>
      </c>
      <c r="J12" s="280">
        <f ca="1">'Dados de Base novo'!F20</f>
        <v>18.100000000000001</v>
      </c>
      <c r="K12" s="280" t="str">
        <f ca="1">'Dados de Base novo'!H20</f>
        <v>-</v>
      </c>
      <c r="M12" s="276"/>
      <c r="N12" s="276"/>
    </row>
    <row r="13" spans="1:14">
      <c r="A13" s="276"/>
      <c r="B13" s="282">
        <f>'Anotações Gerais'!F4</f>
        <v>0</v>
      </c>
      <c r="C13" s="282">
        <f>'Anotações Gerais'!G4</f>
        <v>0</v>
      </c>
      <c r="D13" s="282">
        <f>'Anotações Gerais'!H4</f>
        <v>0</v>
      </c>
      <c r="E13" s="282">
        <f>'Anotações Gerais'!I4</f>
        <v>0</v>
      </c>
      <c r="F13" s="282">
        <f>'Anotações Gerais'!J4</f>
        <v>0</v>
      </c>
      <c r="G13" s="282">
        <f>'Anotações Gerais'!K4</f>
        <v>0</v>
      </c>
      <c r="H13" s="282">
        <f>'Anotações Gerais'!L4</f>
        <v>0</v>
      </c>
      <c r="I13" s="280">
        <f ca="1">'Dados de Base novo'!J6</f>
        <v>4</v>
      </c>
      <c r="J13" s="280">
        <f ca="1">'Dados de Base novo'!F21</f>
        <v>21.1</v>
      </c>
      <c r="K13" s="280" t="str">
        <f ca="1">'Dados de Base novo'!H21</f>
        <v>-</v>
      </c>
      <c r="M13" s="276"/>
      <c r="N13" s="276"/>
    </row>
    <row r="14" spans="1:14">
      <c r="A14" s="276"/>
      <c r="B14" s="282">
        <f>'Anotações Gerais'!F5</f>
        <v>0</v>
      </c>
      <c r="C14" s="282">
        <f>'Anotações Gerais'!G5</f>
        <v>0</v>
      </c>
      <c r="D14" s="282">
        <f>'Anotações Gerais'!H5</f>
        <v>0</v>
      </c>
      <c r="E14" s="282">
        <f>'Anotações Gerais'!I5</f>
        <v>0</v>
      </c>
      <c r="F14" s="282">
        <f>'Anotações Gerais'!J5</f>
        <v>0</v>
      </c>
      <c r="G14" s="282">
        <f>'Anotações Gerais'!K5</f>
        <v>0</v>
      </c>
      <c r="H14" s="282">
        <f>'Anotações Gerais'!L5</f>
        <v>0</v>
      </c>
      <c r="I14" s="280" t="e">
        <f ca="1">'Dados de Base novo'!J7</f>
        <v>#VALUE!</v>
      </c>
      <c r="J14" s="280">
        <f ca="1">'Dados de Base novo'!F22</f>
        <v>23.1</v>
      </c>
      <c r="K14" s="280" t="str">
        <f ca="1">'Dados de Base novo'!H22</f>
        <v>-</v>
      </c>
      <c r="M14" s="276"/>
      <c r="N14" s="276"/>
    </row>
    <row r="15" spans="1:14">
      <c r="A15" s="276"/>
      <c r="B15" s="282">
        <f>'Anotações Gerais'!F6</f>
        <v>0</v>
      </c>
      <c r="C15" s="282">
        <f>'Anotações Gerais'!G6</f>
        <v>0</v>
      </c>
      <c r="D15" s="282">
        <f>'Anotações Gerais'!H6</f>
        <v>0</v>
      </c>
      <c r="E15" s="282">
        <f>'Anotações Gerais'!I6</f>
        <v>0</v>
      </c>
      <c r="F15" s="282">
        <f>'Anotações Gerais'!J6</f>
        <v>0</v>
      </c>
      <c r="G15" s="282">
        <f>'Anotações Gerais'!K6</f>
        <v>0</v>
      </c>
      <c r="H15" s="282">
        <f>'Anotações Gerais'!L6</f>
        <v>0</v>
      </c>
      <c r="I15" s="289">
        <f ca="1">'BD tratado'!$C$2</f>
        <v>0</v>
      </c>
      <c r="J15" s="289" t="str">
        <f ca="1">'BD tratado'!$C$6</f>
        <v/>
      </c>
      <c r="K15" s="290" t="e">
        <f ca="1">Graficos!G298</f>
        <v>#VALUE!</v>
      </c>
      <c r="L15" s="276"/>
      <c r="M15" s="276"/>
      <c r="N15" s="276"/>
    </row>
    <row r="16" spans="1:14">
      <c r="A16" s="276"/>
      <c r="B16" s="282">
        <f>'Anotações Gerais'!F7</f>
        <v>0</v>
      </c>
      <c r="C16" s="282">
        <f>'Anotações Gerais'!G7</f>
        <v>0</v>
      </c>
      <c r="D16" s="282">
        <f>'Anotações Gerais'!H7</f>
        <v>0</v>
      </c>
      <c r="E16" s="282">
        <f>'Anotações Gerais'!I7</f>
        <v>0</v>
      </c>
      <c r="F16" s="282">
        <f>'Anotações Gerais'!J7</f>
        <v>0</v>
      </c>
      <c r="G16" s="282">
        <f>'Anotações Gerais'!K7</f>
        <v>0</v>
      </c>
      <c r="H16" s="282">
        <f>'Anotações Gerais'!L7</f>
        <v>0</v>
      </c>
      <c r="I16" s="290" t="e">
        <f ca="1">Graficos!G299</f>
        <v>#N/A</v>
      </c>
      <c r="J16" s="290" t="e">
        <f ca="1">Graficos!G300</f>
        <v>#N/A</v>
      </c>
      <c r="K16" s="290" t="e">
        <f ca="1">Graficos!G301</f>
        <v>#N/A</v>
      </c>
      <c r="L16" s="276"/>
      <c r="M16" s="276"/>
      <c r="N16" s="276"/>
    </row>
    <row r="17" spans="1:14">
      <c r="A17" s="276"/>
      <c r="B17" s="282">
        <f>'Anotações Gerais'!F8</f>
        <v>0</v>
      </c>
      <c r="C17" s="282">
        <f>'Anotações Gerais'!G8</f>
        <v>0</v>
      </c>
      <c r="D17" s="282">
        <f>'Anotações Gerais'!H8</f>
        <v>0</v>
      </c>
      <c r="E17" s="282">
        <f>'Anotações Gerais'!I8</f>
        <v>0</v>
      </c>
      <c r="F17" s="282">
        <f>'Anotações Gerais'!J8</f>
        <v>0</v>
      </c>
      <c r="G17" s="282">
        <f>'Anotações Gerais'!K8</f>
        <v>0</v>
      </c>
      <c r="H17" s="282">
        <f>'Anotações Gerais'!L8</f>
        <v>0</v>
      </c>
      <c r="I17" s="290" t="e">
        <f ca="1">Graficos!G302</f>
        <v>#N/A</v>
      </c>
      <c r="J17" s="291"/>
      <c r="K17" s="292"/>
      <c r="L17" s="276"/>
      <c r="M17" s="276"/>
      <c r="N17" s="276"/>
    </row>
    <row r="18" spans="1:14">
      <c r="A18" s="276"/>
      <c r="L18" s="276"/>
      <c r="M18" s="276"/>
      <c r="N18" s="276"/>
    </row>
  </sheetData>
  <mergeCells count="1">
    <mergeCell ref="B1:J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16</vt:i4>
      </vt:variant>
    </vt:vector>
  </HeadingPairs>
  <TitlesOfParts>
    <vt:vector size="16" baseType="lpstr">
      <vt:lpstr>Anotações Gerais</vt:lpstr>
      <vt:lpstr>Avaliação</vt:lpstr>
      <vt:lpstr>Meta calórica</vt:lpstr>
      <vt:lpstr>Metabólica</vt:lpstr>
      <vt:lpstr>Imagens</vt:lpstr>
      <vt:lpstr>Laudo</vt:lpstr>
      <vt:lpstr>BD</vt:lpstr>
      <vt:lpstr>BD tratado</vt:lpstr>
      <vt:lpstr>Tabela de Referencia</vt:lpstr>
      <vt:lpstr>Planilha1</vt:lpstr>
      <vt:lpstr>Páginas impressão</vt:lpstr>
      <vt:lpstr>Configuração cabeçalho</vt:lpstr>
      <vt:lpstr>Dados de Base novo</vt:lpstr>
      <vt:lpstr>Graficos</vt:lpstr>
      <vt:lpstr>Notas de Atualização</vt:lpstr>
      <vt:lpstr>Exportar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Claudinei Gasparoto</cp:lastModifiedBy>
  <dcterms:modified xsi:type="dcterms:W3CDTF">2026-02-12T20:25:53Z</dcterms:modified>
</cp:coreProperties>
</file>