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studiante.PT-226\Desktop\SEBB\"/>
    </mc:Choice>
  </mc:AlternateContent>
  <bookViews>
    <workbookView xWindow="0" yWindow="0" windowWidth="20490" windowHeight="7005" tabRatio="856" firstSheet="1" activeTab="9"/>
  </bookViews>
  <sheets>
    <sheet name="Objetivos" sheetId="12" r:id="rId1"/>
    <sheet name="Natillera" sheetId="6" r:id="rId2"/>
    <sheet name="Empleados" sheetId="7" r:id="rId3"/>
    <sheet name="Conversiones" sheetId="9" r:id="rId4"/>
    <sheet name="Alumnos" sheetId="11" r:id="rId5"/>
    <sheet name="Fotografias" sheetId="1" r:id="rId6"/>
    <sheet name="Universidad" sheetId="2" r:id="rId7"/>
    <sheet name="Vehiculos" sheetId="3" r:id="rId8"/>
    <sheet name="Nomina" sheetId="5" r:id="rId9"/>
    <sheet name="Seguros" sheetId="4" r:id="rId10"/>
    <sheet name="RUBRICA DE CALIFICACION" sheetId="14" r:id="rId11"/>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6" i="4" l="1"/>
  <c r="D46" i="4"/>
  <c r="E46" i="4"/>
  <c r="F46" i="4"/>
  <c r="G46" i="4"/>
  <c r="H46" i="4"/>
  <c r="I46" i="4"/>
  <c r="J46" i="4"/>
  <c r="B46" i="4"/>
  <c r="C44" i="4"/>
  <c r="D44" i="4"/>
  <c r="E44" i="4"/>
  <c r="F44" i="4"/>
  <c r="G44" i="4"/>
  <c r="H44" i="4"/>
  <c r="I44" i="4"/>
  <c r="J44" i="4"/>
  <c r="B44" i="4"/>
  <c r="C42" i="4"/>
  <c r="D42" i="4"/>
  <c r="E42" i="4"/>
  <c r="F42" i="4"/>
  <c r="G42" i="4"/>
  <c r="H42" i="4"/>
  <c r="I42" i="4"/>
  <c r="J42" i="4"/>
  <c r="B42" i="4"/>
  <c r="C40" i="4"/>
  <c r="D40" i="4"/>
  <c r="E40" i="4"/>
  <c r="F40" i="4"/>
  <c r="G40" i="4"/>
  <c r="H40" i="4"/>
  <c r="I40" i="4"/>
  <c r="J40" i="4"/>
  <c r="B40"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9" i="4"/>
  <c r="J5" i="5"/>
  <c r="U10" i="5"/>
  <c r="S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F10" i="3"/>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7" i="11"/>
  <c r="G8" i="9"/>
  <c r="G9" i="9"/>
  <c r="G10" i="9"/>
  <c r="G11" i="9"/>
  <c r="G12" i="9"/>
  <c r="G13" i="9"/>
  <c r="G14" i="9"/>
  <c r="G15" i="9"/>
  <c r="G16" i="9"/>
  <c r="G17" i="9"/>
  <c r="G18" i="9"/>
  <c r="G7" i="9"/>
  <c r="F8" i="9"/>
  <c r="F9" i="9"/>
  <c r="F10" i="9"/>
  <c r="F11" i="9"/>
  <c r="F12" i="9"/>
  <c r="F13" i="9"/>
  <c r="F14" i="9"/>
  <c r="F15" i="9"/>
  <c r="F16" i="9"/>
  <c r="F17" i="9"/>
  <c r="F18" i="9"/>
  <c r="F7" i="9"/>
  <c r="E8" i="9"/>
  <c r="E9" i="9"/>
  <c r="E10" i="9"/>
  <c r="E11" i="9"/>
  <c r="E12" i="9"/>
  <c r="E13" i="9"/>
  <c r="E14" i="9"/>
  <c r="E15" i="9"/>
  <c r="E16" i="9"/>
  <c r="E17" i="9"/>
  <c r="E18" i="9"/>
  <c r="E7" i="9"/>
  <c r="D8" i="9"/>
  <c r="D9" i="9"/>
  <c r="D10" i="9"/>
  <c r="D11" i="9"/>
  <c r="D12" i="9"/>
  <c r="D13" i="9"/>
  <c r="D14" i="9"/>
  <c r="D15" i="9"/>
  <c r="D16" i="9"/>
  <c r="D17" i="9"/>
  <c r="D18" i="9"/>
  <c r="D7" i="9"/>
  <c r="B65" i="6"/>
  <c r="B64" i="6"/>
  <c r="B63" i="6"/>
  <c r="B62" i="6"/>
  <c r="C60" i="6"/>
  <c r="D60" i="6"/>
  <c r="E60" i="6"/>
  <c r="F60" i="6"/>
  <c r="G60" i="6"/>
  <c r="H60" i="6"/>
  <c r="I60" i="6"/>
  <c r="J60" i="6"/>
  <c r="K60" i="6"/>
  <c r="L60" i="6"/>
  <c r="M60" i="6"/>
  <c r="B60" i="6"/>
  <c r="C59" i="6"/>
  <c r="D59" i="6"/>
  <c r="E59" i="6"/>
  <c r="F59" i="6"/>
  <c r="G59" i="6"/>
  <c r="H59" i="6"/>
  <c r="I59" i="6"/>
  <c r="J59" i="6"/>
  <c r="K59" i="6"/>
  <c r="L59" i="6"/>
  <c r="M59" i="6"/>
  <c r="B59" i="6"/>
  <c r="C58" i="6"/>
  <c r="D58" i="6"/>
  <c r="E58" i="6"/>
  <c r="F58" i="6"/>
  <c r="G58" i="6"/>
  <c r="H58" i="6"/>
  <c r="I58" i="6"/>
  <c r="J58" i="6"/>
  <c r="K58" i="6"/>
  <c r="L58" i="6"/>
  <c r="M58" i="6"/>
  <c r="B58"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6" i="6"/>
  <c r="O22" i="11" l="1"/>
  <c r="O37" i="11"/>
  <c r="O36" i="11"/>
  <c r="O35" i="11"/>
  <c r="O34"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7" i="11"/>
  <c r="O21" i="11"/>
  <c r="O20" i="11"/>
  <c r="O15" i="11"/>
  <c r="O9" i="11"/>
  <c r="O10" i="11"/>
  <c r="O11" i="11"/>
  <c r="O8" i="11"/>
  <c r="N5"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7" i="11"/>
  <c r="D27" i="1"/>
  <c r="D8" i="1"/>
  <c r="D9" i="1"/>
  <c r="D10" i="1"/>
  <c r="D11" i="1"/>
  <c r="D12" i="1"/>
  <c r="D13" i="1"/>
  <c r="D14" i="1"/>
  <c r="D15" i="1"/>
  <c r="D16" i="1"/>
  <c r="D17" i="1"/>
  <c r="D18" i="1"/>
  <c r="D19" i="1"/>
  <c r="D20" i="1"/>
  <c r="D21" i="1"/>
  <c r="D22" i="1"/>
  <c r="D23" i="1"/>
  <c r="D24" i="1"/>
  <c r="D25" i="1"/>
  <c r="D26" i="1"/>
  <c r="D7" i="1"/>
  <c r="B4" i="7"/>
  <c r="A42" i="3"/>
  <c r="J5" i="3"/>
  <c r="J4" i="3"/>
  <c r="E43" i="3"/>
  <c r="D43" i="3"/>
  <c r="C43" i="3"/>
  <c r="H11" i="3"/>
  <c r="K11" i="3" s="1"/>
  <c r="H14" i="3"/>
  <c r="K14" i="3" s="1"/>
  <c r="H15" i="3"/>
  <c r="H18" i="3"/>
  <c r="K18" i="3" s="1"/>
  <c r="H19" i="3"/>
  <c r="H22" i="3"/>
  <c r="K22" i="3" s="1"/>
  <c r="H23" i="3"/>
  <c r="J23" i="3" s="1"/>
  <c r="H26" i="3"/>
  <c r="K26" i="3" s="1"/>
  <c r="H27" i="3"/>
  <c r="H30" i="3"/>
  <c r="K30" i="3" s="1"/>
  <c r="H31" i="3"/>
  <c r="J31" i="3" s="1"/>
  <c r="H34" i="3"/>
  <c r="K34" i="3" s="1"/>
  <c r="H35" i="3"/>
  <c r="H38" i="3"/>
  <c r="K38" i="3" s="1"/>
  <c r="H39" i="3"/>
  <c r="J39" i="3" s="1"/>
  <c r="G11" i="3"/>
  <c r="G12" i="3"/>
  <c r="H12" i="3" s="1"/>
  <c r="G13" i="3"/>
  <c r="H13" i="3" s="1"/>
  <c r="G14" i="3"/>
  <c r="G15" i="3"/>
  <c r="G16" i="3"/>
  <c r="H16" i="3" s="1"/>
  <c r="G17" i="3"/>
  <c r="H17" i="3" s="1"/>
  <c r="G18" i="3"/>
  <c r="G19" i="3"/>
  <c r="G20" i="3"/>
  <c r="H20" i="3" s="1"/>
  <c r="G21" i="3"/>
  <c r="H21" i="3" s="1"/>
  <c r="G22" i="3"/>
  <c r="G23" i="3"/>
  <c r="G24" i="3"/>
  <c r="H24" i="3" s="1"/>
  <c r="G25" i="3"/>
  <c r="H25" i="3" s="1"/>
  <c r="G26" i="3"/>
  <c r="G27" i="3"/>
  <c r="G28" i="3"/>
  <c r="H28" i="3" s="1"/>
  <c r="G29" i="3"/>
  <c r="H29" i="3" s="1"/>
  <c r="G30" i="3"/>
  <c r="G31" i="3"/>
  <c r="G32" i="3"/>
  <c r="H32" i="3" s="1"/>
  <c r="G33" i="3"/>
  <c r="H33" i="3" s="1"/>
  <c r="G34" i="3"/>
  <c r="G35" i="3"/>
  <c r="G36" i="3"/>
  <c r="H36" i="3" s="1"/>
  <c r="G37" i="3"/>
  <c r="H37" i="3" s="1"/>
  <c r="G38" i="3"/>
  <c r="G39" i="3"/>
  <c r="G10" i="3"/>
  <c r="H10" i="3" s="1"/>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10" i="3"/>
  <c r="J4" i="5"/>
  <c r="J3" i="5"/>
  <c r="Q5"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10" i="5"/>
  <c r="Q6" i="5" l="1"/>
  <c r="J6" i="5"/>
  <c r="Q4" i="5"/>
  <c r="J10" i="3"/>
  <c r="I10" i="3"/>
  <c r="L10" i="3" s="1"/>
  <c r="K10" i="3"/>
  <c r="J32" i="3"/>
  <c r="I32" i="3"/>
  <c r="L32" i="3" s="1"/>
  <c r="K32" i="3"/>
  <c r="J24" i="3"/>
  <c r="I24" i="3"/>
  <c r="L24" i="3" s="1"/>
  <c r="K24" i="3"/>
  <c r="J12" i="3"/>
  <c r="K12" i="3"/>
  <c r="I12" i="3"/>
  <c r="L12" i="3" s="1"/>
  <c r="L36" i="3"/>
  <c r="J36" i="3"/>
  <c r="K36" i="3"/>
  <c r="I36" i="3"/>
  <c r="L28" i="3"/>
  <c r="J28" i="3"/>
  <c r="K28" i="3"/>
  <c r="I28" i="3"/>
  <c r="L20" i="3"/>
  <c r="J20" i="3"/>
  <c r="K20" i="3"/>
  <c r="I20" i="3"/>
  <c r="L16" i="3"/>
  <c r="J16" i="3"/>
  <c r="K16" i="3"/>
  <c r="I16" i="3"/>
  <c r="L35" i="3"/>
  <c r="K37" i="3"/>
  <c r="I37" i="3"/>
  <c r="J37" i="3"/>
  <c r="L37" i="3" s="1"/>
  <c r="I33" i="3"/>
  <c r="J33" i="3"/>
  <c r="L33" i="3" s="1"/>
  <c r="K33" i="3"/>
  <c r="K29" i="3"/>
  <c r="J29" i="3"/>
  <c r="I29" i="3"/>
  <c r="L29" i="3" s="1"/>
  <c r="I25" i="3"/>
  <c r="J25" i="3"/>
  <c r="L25" i="3" s="1"/>
  <c r="K25" i="3"/>
  <c r="K21" i="3"/>
  <c r="J21" i="3"/>
  <c r="I21" i="3"/>
  <c r="L21" i="3" s="1"/>
  <c r="I17" i="3"/>
  <c r="J17" i="3"/>
  <c r="L17" i="3" s="1"/>
  <c r="K17" i="3"/>
  <c r="K13" i="3"/>
  <c r="J13" i="3"/>
  <c r="I13" i="3"/>
  <c r="L13" i="3" s="1"/>
  <c r="J35" i="3"/>
  <c r="J27" i="3"/>
  <c r="J19" i="3"/>
  <c r="J11" i="3"/>
  <c r="L23" i="3"/>
  <c r="L11" i="3"/>
  <c r="J34" i="3"/>
  <c r="J22" i="3"/>
  <c r="L22" i="3"/>
  <c r="I39" i="3"/>
  <c r="L39" i="3" s="1"/>
  <c r="I35" i="3"/>
  <c r="I31" i="3"/>
  <c r="L31" i="3" s="1"/>
  <c r="I27" i="3"/>
  <c r="L27" i="3" s="1"/>
  <c r="I23" i="3"/>
  <c r="I19" i="3"/>
  <c r="L19" i="3" s="1"/>
  <c r="I15" i="3"/>
  <c r="L15" i="3" s="1"/>
  <c r="I11" i="3"/>
  <c r="K39" i="3"/>
  <c r="K35" i="3"/>
  <c r="K31" i="3"/>
  <c r="K27" i="3"/>
  <c r="K23" i="3"/>
  <c r="K19" i="3"/>
  <c r="K15" i="3"/>
  <c r="J15" i="3"/>
  <c r="J38" i="3"/>
  <c r="J30" i="3"/>
  <c r="J26" i="3"/>
  <c r="J18" i="3"/>
  <c r="J14" i="3"/>
  <c r="L30" i="3"/>
  <c r="I38" i="3"/>
  <c r="L38" i="3" s="1"/>
  <c r="I34" i="3"/>
  <c r="L34" i="3" s="1"/>
  <c r="I30" i="3"/>
  <c r="I26" i="3"/>
  <c r="L26" i="3" s="1"/>
  <c r="I22" i="3"/>
  <c r="I18" i="3"/>
  <c r="L18" i="3" s="1"/>
  <c r="I14" i="3"/>
  <c r="L14" i="3" s="1"/>
  <c r="O39" i="11"/>
  <c r="O38" i="11"/>
  <c r="O23" i="11"/>
  <c r="F59" i="2"/>
  <c r="F60" i="2"/>
  <c r="H58" i="2"/>
  <c r="G58" i="2"/>
  <c r="F5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8"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11" i="2"/>
  <c r="F10" i="2"/>
  <c r="F8" i="2"/>
  <c r="F9"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8" i="2"/>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8" i="7"/>
  <c r="G19" i="14" l="1"/>
  <c r="A1" i="5" l="1"/>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10" i="5"/>
  <c r="L3" i="3"/>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8" i="2"/>
  <c r="I42" i="11"/>
  <c r="L6" i="11"/>
  <c r="K6" i="11" l="1"/>
  <c r="A2" i="6" l="1"/>
  <c r="K41" i="11" l="1"/>
  <c r="L41" i="11" s="1"/>
  <c r="H41" i="11"/>
  <c r="K40" i="11"/>
  <c r="L40" i="11" s="1"/>
  <c r="H40" i="11"/>
  <c r="K39" i="11"/>
  <c r="L39" i="11" s="1"/>
  <c r="H39" i="11"/>
  <c r="K38" i="11"/>
  <c r="L38" i="11" s="1"/>
  <c r="H38" i="11"/>
  <c r="K37" i="11"/>
  <c r="L37" i="11" s="1"/>
  <c r="H37" i="11"/>
  <c r="K36" i="11"/>
  <c r="L36" i="11" s="1"/>
  <c r="H36" i="11"/>
  <c r="K35" i="11"/>
  <c r="L35" i="11" s="1"/>
  <c r="H35" i="11"/>
  <c r="K34" i="11"/>
  <c r="L34" i="11" s="1"/>
  <c r="H34" i="11"/>
  <c r="K33" i="11"/>
  <c r="L33" i="11" s="1"/>
  <c r="H33" i="11"/>
  <c r="K32" i="11"/>
  <c r="L32" i="11" s="1"/>
  <c r="H32" i="11"/>
  <c r="K31" i="11"/>
  <c r="L31" i="11" s="1"/>
  <c r="H31" i="11"/>
  <c r="K30" i="11"/>
  <c r="L30" i="11" s="1"/>
  <c r="H30" i="11"/>
  <c r="K29" i="11"/>
  <c r="L29" i="11" s="1"/>
  <c r="H29" i="11"/>
  <c r="K28" i="11"/>
  <c r="L28" i="11" s="1"/>
  <c r="H28" i="11"/>
  <c r="K27" i="11"/>
  <c r="L27" i="11" s="1"/>
  <c r="H27" i="11"/>
  <c r="K26" i="11"/>
  <c r="L26" i="11" s="1"/>
  <c r="H26" i="11"/>
  <c r="K25" i="11"/>
  <c r="L25" i="11" s="1"/>
  <c r="H25" i="11"/>
  <c r="K24" i="11"/>
  <c r="L24" i="11" s="1"/>
  <c r="H24" i="11"/>
  <c r="K23" i="11"/>
  <c r="L23" i="11" s="1"/>
  <c r="H23" i="11"/>
  <c r="K22" i="11"/>
  <c r="L22" i="11" s="1"/>
  <c r="H22" i="11"/>
  <c r="K21" i="11"/>
  <c r="L21" i="11" s="1"/>
  <c r="H21" i="11"/>
  <c r="K20" i="11"/>
  <c r="L20" i="11" s="1"/>
  <c r="H20" i="11"/>
  <c r="K19" i="11"/>
  <c r="L19" i="11" s="1"/>
  <c r="H19" i="11"/>
  <c r="K18" i="11"/>
  <c r="L18" i="11" s="1"/>
  <c r="H18" i="11"/>
  <c r="K17" i="11"/>
  <c r="L17" i="11" s="1"/>
  <c r="H17" i="11"/>
  <c r="K16" i="11"/>
  <c r="L16" i="11" s="1"/>
  <c r="H16" i="11"/>
  <c r="K15" i="11"/>
  <c r="L15" i="11" s="1"/>
  <c r="H15" i="11"/>
  <c r="K14" i="11"/>
  <c r="L14" i="11" s="1"/>
  <c r="H14" i="11"/>
  <c r="K13" i="11"/>
  <c r="L13" i="11" s="1"/>
  <c r="H13" i="11"/>
  <c r="K12" i="11"/>
  <c r="L12" i="11" s="1"/>
  <c r="H12" i="11"/>
  <c r="K11" i="11"/>
  <c r="L11" i="11" s="1"/>
  <c r="H11" i="11"/>
  <c r="K10" i="11"/>
  <c r="L10" i="11" s="1"/>
  <c r="H10" i="11"/>
  <c r="K9" i="11"/>
  <c r="L9" i="11" s="1"/>
  <c r="H9" i="11"/>
  <c r="K8" i="11"/>
  <c r="L8" i="11" s="1"/>
  <c r="H8" i="11"/>
  <c r="K7" i="11"/>
  <c r="L7" i="11" s="1"/>
  <c r="H7" i="11"/>
  <c r="L42" i="11" l="1"/>
  <c r="O28" i="11"/>
  <c r="O29" i="11"/>
  <c r="A26" i="1"/>
  <c r="A25" i="1"/>
  <c r="A24" i="1"/>
  <c r="A23" i="1"/>
  <c r="A22" i="1"/>
  <c r="A21" i="1"/>
  <c r="A20" i="1"/>
  <c r="A19" i="1"/>
  <c r="A18" i="1"/>
  <c r="A17" i="1"/>
  <c r="A16" i="1"/>
  <c r="A15" i="1"/>
  <c r="A14" i="1"/>
  <c r="A13" i="1"/>
  <c r="A12" i="1"/>
  <c r="A11" i="1"/>
  <c r="A10" i="1"/>
  <c r="A9" i="1"/>
  <c r="A8" i="1"/>
  <c r="A7" i="1"/>
</calcChain>
</file>

<file path=xl/comments1.xml><?xml version="1.0" encoding="utf-8"?>
<comments xmlns="http://schemas.openxmlformats.org/spreadsheetml/2006/main">
  <authors>
    <author>user</author>
  </authors>
  <commentList>
    <comment ref="N4" authorId="0" shapeId="0">
      <text>
        <r>
          <rPr>
            <b/>
            <sz val="9"/>
            <color indexed="81"/>
            <rFont val="Tahoma"/>
            <family val="2"/>
          </rPr>
          <t>Cuantos pagos tiene atrazados cada persona inscrita.  Se debe tomar en cuenta las celdas en blanco.</t>
        </r>
      </text>
    </comment>
  </commentList>
</comments>
</file>

<file path=xl/comments2.xml><?xml version="1.0" encoding="utf-8"?>
<comments xmlns="http://schemas.openxmlformats.org/spreadsheetml/2006/main">
  <authors>
    <author>Censa</author>
  </authors>
  <commentList>
    <comment ref="E7" authorId="0" shapeId="0">
      <text>
        <r>
          <rPr>
            <b/>
            <sz val="9"/>
            <color indexed="81"/>
            <rFont val="Tahoma"/>
            <family val="2"/>
          </rPr>
          <t xml:space="preserve">Nombre Completo:
</t>
        </r>
        <r>
          <rPr>
            <sz val="9"/>
            <color indexed="81"/>
            <rFont val="Tahoma"/>
            <family val="2"/>
          </rPr>
          <t>Mostrar el nombre y el apellido separados por un espacio en blanco.</t>
        </r>
      </text>
    </comment>
    <comment ref="F7" authorId="0" shapeId="0">
      <text>
        <r>
          <rPr>
            <b/>
            <sz val="9"/>
            <color indexed="81"/>
            <rFont val="Tahoma"/>
            <family val="2"/>
          </rPr>
          <t xml:space="preserve">Descripción: 
</t>
        </r>
        <r>
          <rPr>
            <sz val="9"/>
            <color indexed="81"/>
            <rFont val="Tahoma"/>
            <family val="2"/>
          </rPr>
          <t>Mostrar el código junto con el cargo separados por un guión.</t>
        </r>
      </text>
    </comment>
  </commentList>
</comments>
</file>

<file path=xl/comments3.xml><?xml version="1.0" encoding="utf-8"?>
<comments xmlns="http://schemas.openxmlformats.org/spreadsheetml/2006/main">
  <authors>
    <author>ESTUDIANTE</author>
    <author>PT-034 SALA2</author>
  </authors>
  <commentList>
    <comment ref="D6" authorId="0" shapeId="0">
      <text>
        <r>
          <rPr>
            <b/>
            <sz val="9"/>
            <color indexed="81"/>
            <rFont val="Tahoma"/>
            <family val="2"/>
          </rPr>
          <t>Mostrar nombres y  apellidos separados por un espacio en blanco</t>
        </r>
      </text>
    </comment>
    <comment ref="G6" authorId="0" shapeId="0">
      <text>
        <r>
          <rPr>
            <b/>
            <sz val="9"/>
            <color indexed="81"/>
            <rFont val="Tahoma"/>
            <family val="2"/>
          </rPr>
          <t>El índice de masa corporal (IMC) se calcula así: peso / talla ^ 2</t>
        </r>
      </text>
    </comment>
    <comment ref="H6" authorId="1" shapeId="0">
      <text>
        <r>
          <rPr>
            <b/>
            <sz val="9"/>
            <color indexed="81"/>
            <rFont val="Tahoma"/>
            <family val="2"/>
          </rPr>
          <t>Estado ya contiene una fórmula, se resuelve solo.</t>
        </r>
      </text>
    </comment>
    <comment ref="J6" authorId="1" shapeId="0">
      <text>
        <r>
          <rPr>
            <b/>
            <sz val="9"/>
            <color indexed="81"/>
            <rFont val="Tahoma"/>
            <family val="2"/>
          </rPr>
          <t>Edad: se calcula tomando la fecha de nacimiento como fecha inicial. Puede utilizar la función SIFECHA</t>
        </r>
      </text>
    </comment>
    <comment ref="K6" authorId="1" shapeId="0">
      <text>
        <r>
          <rPr>
            <b/>
            <sz val="9"/>
            <color indexed="81"/>
            <rFont val="Tahoma"/>
            <family val="2"/>
          </rPr>
          <t>Mensualidad: ya contiene una fórmula, se resuelve solo.</t>
        </r>
      </text>
    </comment>
    <comment ref="L6" authorId="0" shapeId="0">
      <text>
        <r>
          <rPr>
            <b/>
            <sz val="9"/>
            <color indexed="81"/>
            <rFont val="Tahoma"/>
            <family val="2"/>
          </rPr>
          <t>el valor de la mensualidad se incrementa 10% con relación al semestre anterior. Utilizar referencias absolutas</t>
        </r>
      </text>
    </comment>
  </commentList>
</comments>
</file>

<file path=xl/comments4.xml><?xml version="1.0" encoding="utf-8"?>
<comments xmlns="http://schemas.openxmlformats.org/spreadsheetml/2006/main">
  <authors>
    <author>Rorschack</author>
  </authors>
  <commentList>
    <comment ref="G8" authorId="0" shapeId="0">
      <text>
        <r>
          <rPr>
            <b/>
            <sz val="9"/>
            <color indexed="81"/>
            <rFont val="Tahoma"/>
            <family val="2"/>
          </rPr>
          <t>Es el SMLV para todos.  Asígnelo con fórmula tomando el valor constante escrito en la celda L4.  Use referencias absolutas.</t>
        </r>
      </text>
    </comment>
  </commentList>
</comments>
</file>

<file path=xl/comments5.xml><?xml version="1.0" encoding="utf-8"?>
<comments xmlns="http://schemas.openxmlformats.org/spreadsheetml/2006/main">
  <authors>
    <author>PT-ESTUDIANTE</author>
  </authors>
  <commentList>
    <comment ref="J8" authorId="0" shapeId="0">
      <text>
        <r>
          <rPr>
            <b/>
            <sz val="9"/>
            <color indexed="81"/>
            <rFont val="Tahoma"/>
            <family val="2"/>
          </rPr>
          <t>la comision del vendedor se saca sobre el subtotal.</t>
        </r>
      </text>
    </comment>
  </commentList>
</comments>
</file>

<file path=xl/sharedStrings.xml><?xml version="1.0" encoding="utf-8"?>
<sst xmlns="http://schemas.openxmlformats.org/spreadsheetml/2006/main" count="754" uniqueCount="522">
  <si>
    <t>FOTOGRAFIAS " FLASH"</t>
  </si>
  <si>
    <t>Nombre del Fotógrafo:</t>
  </si>
  <si>
    <t>Juan Carlos Montoya</t>
  </si>
  <si>
    <t>Valor Día:</t>
  </si>
  <si>
    <t>Fecha</t>
  </si>
  <si>
    <t>Boda</t>
  </si>
  <si>
    <t>Grados</t>
  </si>
  <si>
    <t>Bautizo</t>
  </si>
  <si>
    <t>Cumpleaños</t>
  </si>
  <si>
    <t>Bodas de Plata</t>
  </si>
  <si>
    <t>Quince Años</t>
  </si>
  <si>
    <t>Despedida</t>
  </si>
  <si>
    <t>Total a Pagar</t>
  </si>
  <si>
    <t>Horas Laboradas</t>
  </si>
  <si>
    <t>Valor Horas Laboradas</t>
  </si>
  <si>
    <t>1.</t>
  </si>
  <si>
    <t>2.</t>
  </si>
  <si>
    <t>Recuerde que el objetivo es utilizar referencias absolutas y fuciones donde corresponda.</t>
  </si>
  <si>
    <t>Nombre Estudiante</t>
  </si>
  <si>
    <t>Carrera</t>
  </si>
  <si>
    <t>Ingeniería de Sistemas</t>
  </si>
  <si>
    <t>Administración</t>
  </si>
  <si>
    <t>Contaduría</t>
  </si>
  <si>
    <t>Derecho</t>
  </si>
  <si>
    <t>Medicina</t>
  </si>
  <si>
    <t>Alvarez Alvarez Uriel de Jesus</t>
  </si>
  <si>
    <t>Alvarez Granda Francisco Javier</t>
  </si>
  <si>
    <t>Arias Gomez Maria Eugenia</t>
  </si>
  <si>
    <t>Buitrago Meneses Gustavo Adolfo</t>
  </si>
  <si>
    <t>Bustamante Quintana Douglas</t>
  </si>
  <si>
    <t>Correal Tamayo Leon Jairo</t>
  </si>
  <si>
    <t>Diaz Buritica William</t>
  </si>
  <si>
    <t>Fulla Castañeda Marta Elena</t>
  </si>
  <si>
    <t>Giraldo Giraldo Luz Marina</t>
  </si>
  <si>
    <t>Gutierrez Monsalve Hernan Dario</t>
  </si>
  <si>
    <t>Henao Osorio Martha Irene</t>
  </si>
  <si>
    <t>Longa Ramirez Baldoina</t>
  </si>
  <si>
    <t>Lopez Medina Natalia</t>
  </si>
  <si>
    <t>Lopez Restrepo Fernain de Jesus</t>
  </si>
  <si>
    <t>Mazo Loaiza Martha Ines</t>
  </si>
  <si>
    <t>Montoya Hoyos John Camilo</t>
  </si>
  <si>
    <t>Ortiz Gañan Renso Alberto</t>
  </si>
  <si>
    <t>Ramirez Velasquez Victor Hugo</t>
  </si>
  <si>
    <t>Ramos Moreno Jesus Antonio</t>
  </si>
  <si>
    <t>Ramos Rodriquez Doris Maritza</t>
  </si>
  <si>
    <t>Roldan Orrego Aura Ines</t>
  </si>
  <si>
    <t>Roldan Perez Jose Hernan</t>
  </si>
  <si>
    <t>Ruiz Carvajal Edier Osbaldo</t>
  </si>
  <si>
    <t>Salazar Florez Jose Arcangel</t>
  </si>
  <si>
    <t>Taborda Nelson de Jesus</t>
  </si>
  <si>
    <t>Torres Millan Cesar Augusto</t>
  </si>
  <si>
    <t>Toscano Olivella Pedro Rafael</t>
  </si>
  <si>
    <t>Valderrama Pulgarin Victor Hugo</t>
  </si>
  <si>
    <t>Yarce Ramirez Elvia Olivia</t>
  </si>
  <si>
    <t>Rojas Paniagua John Wilinton</t>
  </si>
  <si>
    <t>Valor Materia Adicional</t>
  </si>
  <si>
    <t>Incremento Adicional del Seguro</t>
  </si>
  <si>
    <t>Recuerde aplicar Referencias Absolutas</t>
  </si>
  <si>
    <t>TOTALES</t>
  </si>
  <si>
    <t>VENTA DE VEHICULOS EL REMOLQUE</t>
  </si>
  <si>
    <t>Tipo Vehículo</t>
  </si>
  <si>
    <t>Valor Unitario</t>
  </si>
  <si>
    <t>Porcentaje Comisión</t>
  </si>
  <si>
    <t>Nombre Vendedor</t>
  </si>
  <si>
    <t>Cantidad de Vehículos Vendidos</t>
  </si>
  <si>
    <t>Valor Comisión</t>
  </si>
  <si>
    <t>Básico</t>
  </si>
  <si>
    <t>Devengado</t>
  </si>
  <si>
    <t>Deducción EPS</t>
  </si>
  <si>
    <t>Deducción Pensión</t>
  </si>
  <si>
    <t>Natillera</t>
  </si>
  <si>
    <t>Porcentajes Deducciones</t>
  </si>
  <si>
    <t>E.P.S.</t>
  </si>
  <si>
    <t>Pensión</t>
  </si>
  <si>
    <t>Total Vendido por Vendedor</t>
  </si>
  <si>
    <t>Total Vendido</t>
  </si>
  <si>
    <t>Total Comisiones</t>
  </si>
  <si>
    <t>RESUMEN</t>
  </si>
  <si>
    <t>cada marca tiene un valor y un porcentaje de comisión distinto</t>
  </si>
  <si>
    <t xml:space="preserve"> vendió distintas cantidades de cada marca,</t>
  </si>
  <si>
    <t>la cantidad y el valor de los autos, igual que en el punto anterior</t>
  </si>
  <si>
    <t>Cantidad Seguros Vendidos</t>
  </si>
  <si>
    <t>Valor Descuento</t>
  </si>
  <si>
    <t>Valor Iva</t>
  </si>
  <si>
    <t>Uriel de Jesus Alvarez Alvarez</t>
  </si>
  <si>
    <t>Francisco Javier Alvarez Granda</t>
  </si>
  <si>
    <t>Maria Eugenia Arias Gomez</t>
  </si>
  <si>
    <t>Gustavo Adolfo Buitrago Meneses</t>
  </si>
  <si>
    <t>Douglas Bustamante Quintana</t>
  </si>
  <si>
    <t>Leon Jairo Correal Tamayo</t>
  </si>
  <si>
    <t>William Diaz Buritica</t>
  </si>
  <si>
    <t>Marta Elena Fulla Castañeda</t>
  </si>
  <si>
    <t>Luz Marina Giraldo Giraldo</t>
  </si>
  <si>
    <t>Hernan Dario Gutierrez Monsalve</t>
  </si>
  <si>
    <t>Martha Irene Henao Osorio</t>
  </si>
  <si>
    <t>Baldoina Longa Ramirez</t>
  </si>
  <si>
    <t>Natalia Lopez Medina</t>
  </si>
  <si>
    <t>Fernain de Jesus Lopez Restrepo</t>
  </si>
  <si>
    <t>Martha Ines Mazo Loaiza</t>
  </si>
  <si>
    <t>John Camilo Montoya Hoyos</t>
  </si>
  <si>
    <t>Renso Alberto Ortiz Gañan</t>
  </si>
  <si>
    <t>Victor Hugo Ramirez Velasquez</t>
  </si>
  <si>
    <t>Jesus Antonio Ramos Moreno</t>
  </si>
  <si>
    <t>Doris Maritza Ramos Rodriquez</t>
  </si>
  <si>
    <t>Aura Ines Roldan Orrego</t>
  </si>
  <si>
    <t>Jose Hernan Roldan Perez</t>
  </si>
  <si>
    <t>Edier Osbaldo Ruiz Carvajal</t>
  </si>
  <si>
    <t>Jose Arcangel Salazar Florez</t>
  </si>
  <si>
    <t>Nelson de Jesus Taborda</t>
  </si>
  <si>
    <t>Cesar Augusto Torres Millan</t>
  </si>
  <si>
    <t>Pedro Rafael Toscano Olivella</t>
  </si>
  <si>
    <t>Victor Hugo Valderrama Pulgarin</t>
  </si>
  <si>
    <t>Elvia Olivia Yarce Ramirez</t>
  </si>
  <si>
    <t>John Wilinton Rojas Paniagua</t>
  </si>
  <si>
    <t>Incrementos</t>
  </si>
  <si>
    <t>Hora Extra</t>
  </si>
  <si>
    <t>Hora Nocturna</t>
  </si>
  <si>
    <t>Hora Festiva</t>
  </si>
  <si>
    <t>Empleado</t>
  </si>
  <si>
    <t>Nro. Horas Extras</t>
  </si>
  <si>
    <t>Nro. Horas Nocturnas</t>
  </si>
  <si>
    <t>Nro. Horas Festivas</t>
  </si>
  <si>
    <t>Valor Hora Ordinaria</t>
  </si>
  <si>
    <t>Porcentaje E.P.S.</t>
  </si>
  <si>
    <t>Porcentaje Pensión</t>
  </si>
  <si>
    <t>DATOS GENERALES</t>
  </si>
  <si>
    <t>CANTIDAD HORAS</t>
  </si>
  <si>
    <t>VALOR HORAS</t>
  </si>
  <si>
    <t>Valor E.P.S.</t>
  </si>
  <si>
    <t>Valor Pensión</t>
  </si>
  <si>
    <t>TOTAL DEDUCIDOS</t>
  </si>
  <si>
    <t>TOTAL DEVENGADO</t>
  </si>
  <si>
    <t>TOTAL A PAGAR</t>
  </si>
  <si>
    <t>DEDUCCIONES</t>
  </si>
  <si>
    <t>TOTAL BÁSICOS</t>
  </si>
  <si>
    <t>TOTAL DEVENGADOS</t>
  </si>
  <si>
    <t>TOTAL A PAGAR MAS ALTO</t>
  </si>
  <si>
    <t>TOTAL A PAGAR MAS BAJO</t>
  </si>
  <si>
    <t>TOTAL A PAGAR PROMEDIO</t>
  </si>
  <si>
    <t>DICIEMBRE</t>
  </si>
  <si>
    <t>NOVIEMBRE</t>
  </si>
  <si>
    <t>OCTUBRE</t>
  </si>
  <si>
    <t>SEPTIEMBRE</t>
  </si>
  <si>
    <t>AGOSTO</t>
  </si>
  <si>
    <t>JULIO</t>
  </si>
  <si>
    <t>JUNIO</t>
  </si>
  <si>
    <t>MAYO</t>
  </si>
  <si>
    <t>ABRIL</t>
  </si>
  <si>
    <t>MARZO</t>
  </si>
  <si>
    <t>FEBRERO</t>
  </si>
  <si>
    <t>ENERO</t>
  </si>
  <si>
    <t>PAGOS ATRAZADOS</t>
  </si>
  <si>
    <t>VALOR ABONADO POR MES</t>
  </si>
  <si>
    <t>NOMBRE</t>
  </si>
  <si>
    <t>NATILLERA EL PORVENIR</t>
  </si>
  <si>
    <t>Secretaria</t>
  </si>
  <si>
    <t>Mirla</t>
  </si>
  <si>
    <t>Meneses</t>
  </si>
  <si>
    <t>D-105</t>
  </si>
  <si>
    <t>Contador</t>
  </si>
  <si>
    <t>Carlos</t>
  </si>
  <si>
    <t>Castro</t>
  </si>
  <si>
    <t>D-104</t>
  </si>
  <si>
    <t>Programador</t>
  </si>
  <si>
    <t>José</t>
  </si>
  <si>
    <t>Carranza</t>
  </si>
  <si>
    <t>D-203</t>
  </si>
  <si>
    <t>Secretaria Ejecutiva</t>
  </si>
  <si>
    <t>Luisa</t>
  </si>
  <si>
    <t>Llerena</t>
  </si>
  <si>
    <t>D-202</t>
  </si>
  <si>
    <t>Jefe de Producción</t>
  </si>
  <si>
    <t>Teofilo</t>
  </si>
  <si>
    <t>Pajuelo</t>
  </si>
  <si>
    <t>D-101</t>
  </si>
  <si>
    <t>Digitador</t>
  </si>
  <si>
    <t>Richard</t>
  </si>
  <si>
    <t>Ruiz</t>
  </si>
  <si>
    <t>C-105</t>
  </si>
  <si>
    <t>Felipe</t>
  </si>
  <si>
    <t>Garcia</t>
  </si>
  <si>
    <t>C-104</t>
  </si>
  <si>
    <t>Auxiliar de Contabilidad</t>
  </si>
  <si>
    <t>Ana</t>
  </si>
  <si>
    <t>Nuñez</t>
  </si>
  <si>
    <t>C-203</t>
  </si>
  <si>
    <t>Jorge</t>
  </si>
  <si>
    <t>Sánchez</t>
  </si>
  <si>
    <t>C-202</t>
  </si>
  <si>
    <t>Andrés</t>
  </si>
  <si>
    <t>Montes</t>
  </si>
  <si>
    <t>C-101</t>
  </si>
  <si>
    <t>Julia</t>
  </si>
  <si>
    <t>Oconor</t>
  </si>
  <si>
    <t>B-105</t>
  </si>
  <si>
    <t>Analista de Sistemas</t>
  </si>
  <si>
    <t>Miguel</t>
  </si>
  <si>
    <t>Carpió</t>
  </si>
  <si>
    <t>B-104</t>
  </si>
  <si>
    <t>Ángel</t>
  </si>
  <si>
    <t>Huamani</t>
  </si>
  <si>
    <t>B-203</t>
  </si>
  <si>
    <t>Jefe de Finanzas</t>
  </si>
  <si>
    <t>Marina</t>
  </si>
  <si>
    <t>Cortez</t>
  </si>
  <si>
    <t>B-202</t>
  </si>
  <si>
    <t>Asistente de Finanzas</t>
  </si>
  <si>
    <t>Soto</t>
  </si>
  <si>
    <t>B-101</t>
  </si>
  <si>
    <t>Jefe de Computo</t>
  </si>
  <si>
    <t>Juan</t>
  </si>
  <si>
    <t>Ccance</t>
  </si>
  <si>
    <t>A-105</t>
  </si>
  <si>
    <t>Jefe de Almacen</t>
  </si>
  <si>
    <t>Rocío</t>
  </si>
  <si>
    <t>Canepa</t>
  </si>
  <si>
    <t>A-104</t>
  </si>
  <si>
    <t>Milagros</t>
  </si>
  <si>
    <t>Cortés</t>
  </si>
  <si>
    <t>A-203</t>
  </si>
  <si>
    <t>Jefe de Marketing</t>
  </si>
  <si>
    <t>Tania</t>
  </si>
  <si>
    <t>Quiroz</t>
  </si>
  <si>
    <t>A-202</t>
  </si>
  <si>
    <t>Patricia</t>
  </si>
  <si>
    <t>Vega</t>
  </si>
  <si>
    <t>A-101</t>
  </si>
  <si>
    <t>DESCRIPCIÓN</t>
  </si>
  <si>
    <t>NOMBRE COMPLETO</t>
  </si>
  <si>
    <t>CARGO</t>
  </si>
  <si>
    <t>APELLIDO</t>
  </si>
  <si>
    <t>CÓDIGO</t>
  </si>
  <si>
    <t>LISTA DE EMPLEADOS</t>
  </si>
  <si>
    <t>NRO.  DE EMPLEADOS:</t>
  </si>
  <si>
    <t>Diciembre</t>
  </si>
  <si>
    <t>Noviembre</t>
  </si>
  <si>
    <t>Octubre</t>
  </si>
  <si>
    <t>Septiembre</t>
  </si>
  <si>
    <t>Agosto</t>
  </si>
  <si>
    <t>Julio</t>
  </si>
  <si>
    <t>Junio</t>
  </si>
  <si>
    <t>Mayo</t>
  </si>
  <si>
    <t>Abril</t>
  </si>
  <si>
    <t>Marzo</t>
  </si>
  <si>
    <t>Febrero</t>
  </si>
  <si>
    <t>Enero</t>
  </si>
  <si>
    <t>VALOR EN LIBRAS</t>
  </si>
  <si>
    <t>VALOR EN EUROS</t>
  </si>
  <si>
    <t>VALOR EN DOLARES</t>
  </si>
  <si>
    <t>INGRESOS EN PESOS</t>
  </si>
  <si>
    <t>MES</t>
  </si>
  <si>
    <t>Valor del Dólar:</t>
  </si>
  <si>
    <t>Total Dinero Recaudado en el Año:</t>
  </si>
  <si>
    <t>Cantidad de Cuotas Pagadas en el Año:</t>
  </si>
  <si>
    <t>Cantidad de Cuotas Atrazadas Anual:</t>
  </si>
  <si>
    <t>Cantidad de Personas Inscritas:</t>
  </si>
  <si>
    <t>Evento Atendido</t>
  </si>
  <si>
    <t>Cantidad de Materias Adicionales</t>
  </si>
  <si>
    <t>Valor de las Materias Adicionales</t>
  </si>
  <si>
    <t>Valor del Incremento Adicional del Seguro</t>
  </si>
  <si>
    <t>Valor Total Matrícula</t>
  </si>
  <si>
    <t>Cantidad Seguro de Desempleo</t>
  </si>
  <si>
    <t>Cantidad Seguro de Vida</t>
  </si>
  <si>
    <t>Cantidad Seguro Contra Incendio</t>
  </si>
  <si>
    <t>Sub Total de Seguros Vendidos</t>
  </si>
  <si>
    <t>Valor Comisión Vendedor</t>
  </si>
  <si>
    <t>Vega Patricia</t>
  </si>
  <si>
    <t>Quiroz Tania</t>
  </si>
  <si>
    <t>Cortés Milagros</t>
  </si>
  <si>
    <t>Canepa Rocío</t>
  </si>
  <si>
    <t>Ccance Juan</t>
  </si>
  <si>
    <t>Soto Jorge</t>
  </si>
  <si>
    <t>Cortez Marina</t>
  </si>
  <si>
    <t>Huamani Ángel</t>
  </si>
  <si>
    <t>Carpió Miguel</t>
  </si>
  <si>
    <t>Oconor Julia</t>
  </si>
  <si>
    <t>Montes Andrés</t>
  </si>
  <si>
    <t>Sánchez Jorge</t>
  </si>
  <si>
    <t>Nuñez Ana</t>
  </si>
  <si>
    <t>Garcia Felipe</t>
  </si>
  <si>
    <t>Ruiz Richard</t>
  </si>
  <si>
    <t>Pajuelo Teofilo</t>
  </si>
  <si>
    <t>Llerena Luisa</t>
  </si>
  <si>
    <t>Carranza José</t>
  </si>
  <si>
    <t>Castro Carlos</t>
  </si>
  <si>
    <t>Meneses Mirla</t>
  </si>
  <si>
    <t>Nombre del Vendedor</t>
  </si>
  <si>
    <t>Cantidad Pagos Efectuados en el Mes</t>
  </si>
  <si>
    <t>Total Dinero Recaudado Por Mes</t>
  </si>
  <si>
    <t>Aux. Transp</t>
  </si>
  <si>
    <t>POLITÉCNICO DE COLOMBIA</t>
  </si>
  <si>
    <t>Promedio de la Cantidad de Materias Adicionales</t>
  </si>
  <si>
    <t>multiplicar por la cantidad de horas laboradas.</t>
  </si>
  <si>
    <t>Recuerde utilizar referencias absolutas donde corresponda.</t>
  </si>
  <si>
    <t>Debe tambien calcular el valor todal a pagar en la parte inferior.</t>
  </si>
  <si>
    <r>
      <t xml:space="preserve">2.  Calcular el valor de las materias adicionales, teniendo en cuenta la </t>
    </r>
    <r>
      <rPr>
        <b/>
        <sz val="11"/>
        <color theme="1"/>
        <rFont val="Times New Roman"/>
        <family val="1"/>
      </rPr>
      <t>cantidad de materias adicionales</t>
    </r>
    <r>
      <rPr>
        <sz val="11"/>
        <color theme="1"/>
        <rFont val="Times New Roman"/>
        <family val="1"/>
      </rPr>
      <t xml:space="preserve"> y el </t>
    </r>
    <r>
      <rPr>
        <b/>
        <sz val="11"/>
        <color theme="1"/>
        <rFont val="Times New Roman"/>
        <family val="1"/>
      </rPr>
      <t>valor de cada materia adicional</t>
    </r>
  </si>
  <si>
    <r>
      <rPr>
        <b/>
        <sz val="11"/>
        <color theme="1"/>
        <rFont val="Times New Roman"/>
        <family val="1"/>
      </rPr>
      <t xml:space="preserve">3.  El incremento adicional del seguro es el valor del incremento por la </t>
    </r>
    <r>
      <rPr>
        <sz val="11"/>
        <color theme="1"/>
        <rFont val="Times New Roman"/>
        <family val="1"/>
      </rPr>
      <t>cantidad de materias adicionales</t>
    </r>
  </si>
  <si>
    <t>Para el valor de la comisión, tenga en cuenta que cada vendedor</t>
  </si>
  <si>
    <t>Calcule el resto de columnas y el resumen en la parte superior de la tabla</t>
  </si>
  <si>
    <t xml:space="preserve">En el total vendido por vendedor, debe tener en cuenta que varía </t>
  </si>
  <si>
    <t>Valor Hora Extra</t>
  </si>
  <si>
    <t>Valor Hora Noctura</t>
  </si>
  <si>
    <t>Valor Hora Festiva</t>
  </si>
  <si>
    <t>SUBTOTALES HORAS</t>
  </si>
  <si>
    <t>Valor Horas Extras</t>
  </si>
  <si>
    <t>Valor Horas Nocturnas</t>
  </si>
  <si>
    <t>Valor Horas Festivas</t>
  </si>
  <si>
    <t>INSTRUCCIONES</t>
  </si>
  <si>
    <t>1. Valor Hora Ordinaria ==&gt; básico dividido entre 240 horas</t>
  </si>
  <si>
    <t>2. Las extras, nocturas y festivas se calculan asi ==&gt; Valor Hora Ordinaria por el incremento respectivo</t>
  </si>
  <si>
    <t>3. Devengado es ==&gt; básico más extras, mas nocturnas, mas festivas.</t>
  </si>
  <si>
    <t>4. Total Deducidos ==&gt; valor eps más valor pensión.</t>
  </si>
  <si>
    <t>6. Calcule las estadísticas en la parte superior</t>
  </si>
  <si>
    <t>Total A Pagar</t>
  </si>
  <si>
    <t>5. Total a Pagar ==&gt; TOTAL DEVENGADO menos TOTAL DEDUCIDOS más AUXILIO DE TRANSPORTE</t>
  </si>
  <si>
    <t>7. Aplique formatos de moneda o contabilidad donde sea apropiado.</t>
  </si>
  <si>
    <t>Total a 
Pagar:</t>
  </si>
  <si>
    <t xml:space="preserve">
Utilice referencias absolutas donde corresponda.
1. La cantidad de seguros vendidos es la suma de las cantidades de seguros que el vendedor vendió.
2.  Calcular el valor Total Seguros, teniendo en cuenta que cada tipo de Seguro tiene un valor diferente.
3. Valor descuento se calcula en base al Valor  SubTotal de Seguros
4. El Valor IVA se debe sacar del Valor SubTotal Seguros vendidos. 
5. El Total a Pagar sería: Valor Subtotal de Seguros – Valor Descuento + Valor IVA.
6. Valor Comisión Vendedor se saca del Subtotal de Seguros Vendidos.
7. Decorar la Planilla a su gusto.
8. Colocar el respectivo formato a cada una de las columnas de acuerdo al valor numérico que este representando.
9.  Calcule las estadísticas en la parte inferior de la hoja</t>
  </si>
  <si>
    <t>E-101</t>
  </si>
  <si>
    <t>E-102</t>
  </si>
  <si>
    <t>E-103</t>
  </si>
  <si>
    <t>E-104</t>
  </si>
  <si>
    <t>E-105</t>
  </si>
  <si>
    <t>Perez</t>
  </si>
  <si>
    <t>Velez</t>
  </si>
  <si>
    <t>Arrieta</t>
  </si>
  <si>
    <t>Barbarán</t>
  </si>
  <si>
    <t>Castaño</t>
  </si>
  <si>
    <t>Jaime</t>
  </si>
  <si>
    <t>Carmen</t>
  </si>
  <si>
    <t>Rosa</t>
  </si>
  <si>
    <t>F-101</t>
  </si>
  <si>
    <t>F-102</t>
  </si>
  <si>
    <t>F-103</t>
  </si>
  <si>
    <t>F-104</t>
  </si>
  <si>
    <t>F-105</t>
  </si>
  <si>
    <t>Blanco</t>
  </si>
  <si>
    <t>Tapias</t>
  </si>
  <si>
    <t>Quintana</t>
  </si>
  <si>
    <t>Villa</t>
  </si>
  <si>
    <t>Elizabeth</t>
  </si>
  <si>
    <t>Adrian</t>
  </si>
  <si>
    <t>Nicolas</t>
  </si>
  <si>
    <t>Para resolver el ejercicio, utilice divisiones o multiplicaciones según el caso</t>
  </si>
  <si>
    <t>Valor del Bolívar:</t>
  </si>
  <si>
    <t>VALOR EN BOLÍVARES</t>
  </si>
  <si>
    <r>
      <t xml:space="preserve">Aplíquele a cada moneda el símbolo ISO  de moneda correspondiente así:
</t>
    </r>
    <r>
      <rPr>
        <b/>
        <sz val="14"/>
        <rFont val="Calibri"/>
        <family val="2"/>
        <scheme val="minor"/>
      </rPr>
      <t>Dólar: USD
Euro: EUR
Libra: GBP
Bolívar: VEF
Peso: COP</t>
    </r>
  </si>
  <si>
    <t>CONSTANTES</t>
  </si>
  <si>
    <t>KIA rio</t>
  </si>
  <si>
    <t>Mazda 3</t>
  </si>
  <si>
    <t>Renault clio</t>
  </si>
  <si>
    <t xml:space="preserve">Valor Seguro de Desempleo:  </t>
  </si>
  <si>
    <t xml:space="preserve">Valor Seguro de Vida:  </t>
  </si>
  <si>
    <t xml:space="preserve">Valor Seguro Contra Incendio:  </t>
  </si>
  <si>
    <t xml:space="preserve">Descuento:  </t>
  </si>
  <si>
    <t xml:space="preserve">Iva:  </t>
  </si>
  <si>
    <t xml:space="preserve">Comisión del Vendedor:  </t>
  </si>
  <si>
    <t xml:space="preserve">TOTALES:  </t>
  </si>
  <si>
    <t xml:space="preserve">PROMEDIOS:  </t>
  </si>
  <si>
    <t xml:space="preserve">VALORES MÁXIMOS:  </t>
  </si>
  <si>
    <t xml:space="preserve">VALORES MÍNIMOS:  </t>
  </si>
  <si>
    <t>Otras Deducciones</t>
  </si>
  <si>
    <t>Aplique bordes y formatos apropiados a los valores</t>
  </si>
  <si>
    <t>TABLA DE CONTROL</t>
  </si>
  <si>
    <t>Incremento</t>
  </si>
  <si>
    <t>I.E. EL CARACOL</t>
  </si>
  <si>
    <t>→</t>
  </si>
  <si>
    <t>Mostrar la fecha actual con formato de fecha larga.</t>
  </si>
  <si>
    <t>No.</t>
  </si>
  <si>
    <t>Apellidos</t>
  </si>
  <si>
    <t>Nombres</t>
  </si>
  <si>
    <t>Talla</t>
  </si>
  <si>
    <t>Peso</t>
  </si>
  <si>
    <t>IMC</t>
  </si>
  <si>
    <t>Estado</t>
  </si>
  <si>
    <t>Fecha Nac</t>
  </si>
  <si>
    <t>Edad</t>
  </si>
  <si>
    <t>Lozada Mejia</t>
  </si>
  <si>
    <t>Patricio Alonso</t>
  </si>
  <si>
    <t>Bustamante ocaña</t>
  </si>
  <si>
    <t>Erik josue</t>
  </si>
  <si>
    <t xml:space="preserve">Año: </t>
  </si>
  <si>
    <t>Extraer el año</t>
  </si>
  <si>
    <t>Berru Yarleque</t>
  </si>
  <si>
    <t>Mauricio Rolando</t>
  </si>
  <si>
    <t xml:space="preserve">Mes: </t>
  </si>
  <si>
    <t>Mostrar el nombre del mes</t>
  </si>
  <si>
    <t>Gonzales Yarleque</t>
  </si>
  <si>
    <t>Renzo Jesus</t>
  </si>
  <si>
    <t xml:space="preserve">Día No.: </t>
  </si>
  <si>
    <t>Extraer el número del día</t>
  </si>
  <si>
    <t>Peña Castillo</t>
  </si>
  <si>
    <t>Martin Jhonattan</t>
  </si>
  <si>
    <t>Día de la Semana:</t>
  </si>
  <si>
    <t>Mostrar el nombre del día de la semana</t>
  </si>
  <si>
    <t>Domingues Troncos</t>
  </si>
  <si>
    <t>Juan ricardo</t>
  </si>
  <si>
    <t>Panta Trelles</t>
  </si>
  <si>
    <t>Jean Pierre</t>
  </si>
  <si>
    <t>Alamo viera</t>
  </si>
  <si>
    <t>MarcoantonioVictor</t>
  </si>
  <si>
    <t>Hernandes Barrientos</t>
  </si>
  <si>
    <t>Pedro Ernesto</t>
  </si>
  <si>
    <t>Cantidad de Alumnos</t>
  </si>
  <si>
    <t>Cuántos alumnos son</t>
  </si>
  <si>
    <t>Castro reyes</t>
  </si>
  <si>
    <t>julio Santino</t>
  </si>
  <si>
    <t>Gallardo Salazar</t>
  </si>
  <si>
    <t>Carlos Junior</t>
  </si>
  <si>
    <t>Saravia Herrera</t>
  </si>
  <si>
    <t>Franco Paul</t>
  </si>
  <si>
    <t>Garcia Gallardo</t>
  </si>
  <si>
    <t>Jorge Alejandro</t>
  </si>
  <si>
    <t>Calcule Los Promedios</t>
  </si>
  <si>
    <t>Portocarrero Aleman</t>
  </si>
  <si>
    <t>Oscar Daniel</t>
  </si>
  <si>
    <t xml:space="preserve">Peso: </t>
  </si>
  <si>
    <t>Rosillo Dedios</t>
  </si>
  <si>
    <t>Fernando Martin</t>
  </si>
  <si>
    <t xml:space="preserve">Estatura: </t>
  </si>
  <si>
    <t>Velasquez Mendoza</t>
  </si>
  <si>
    <t>Juan Carlos</t>
  </si>
  <si>
    <t xml:space="preserve">Edad: </t>
  </si>
  <si>
    <t>Abramonte Abada</t>
  </si>
  <si>
    <t>Miguel angel</t>
  </si>
  <si>
    <t xml:space="preserve">IMC: </t>
  </si>
  <si>
    <t>Requena Troncos</t>
  </si>
  <si>
    <t>Rafael Angel</t>
  </si>
  <si>
    <t>Roblez Machaguay</t>
  </si>
  <si>
    <t>Lenin Alejandro</t>
  </si>
  <si>
    <t>Córdova Gomez</t>
  </si>
  <si>
    <t>Sergio Antonio</t>
  </si>
  <si>
    <t>Laroca Vasquez</t>
  </si>
  <si>
    <t>Martin Humberto</t>
  </si>
  <si>
    <t>Garcia Quevedo</t>
  </si>
  <si>
    <t>Brandon Stwear</t>
  </si>
  <si>
    <t xml:space="preserve">Pagos Recibidos: </t>
  </si>
  <si>
    <t>Cuántos pagos se han recibido?</t>
  </si>
  <si>
    <t>Palacios Valladares</t>
  </si>
  <si>
    <t>Richard André</t>
  </si>
  <si>
    <t xml:space="preserve">Mensualidades Pendientes: </t>
  </si>
  <si>
    <t>Cuántos pagos están pendientes?</t>
  </si>
  <si>
    <t>Pichilingue Pozo</t>
  </si>
  <si>
    <t>Jorge André</t>
  </si>
  <si>
    <t>Zapata Riofrio</t>
  </si>
  <si>
    <t>Johnatan Eduardo</t>
  </si>
  <si>
    <t>Vega Rojas</t>
  </si>
  <si>
    <t>Ernesto</t>
  </si>
  <si>
    <t>Sanchez Cordova</t>
  </si>
  <si>
    <t>Juan Luis</t>
  </si>
  <si>
    <t>Límite Superior E Inferior</t>
  </si>
  <si>
    <t>Vera Rivas</t>
  </si>
  <si>
    <t>Ronald</t>
  </si>
  <si>
    <t xml:space="preserve">Estatura Más Alta: </t>
  </si>
  <si>
    <t>Carrrasco Iriarte</t>
  </si>
  <si>
    <t>Victor Ignacio</t>
  </si>
  <si>
    <t xml:space="preserve">Estatura Más Baja: </t>
  </si>
  <si>
    <t>Salazar Chavez</t>
  </si>
  <si>
    <t>Roberto Carlos</t>
  </si>
  <si>
    <t xml:space="preserve">IMC Más Alto: </t>
  </si>
  <si>
    <t>Vilchez Rodriguez</t>
  </si>
  <si>
    <t>Reiner David</t>
  </si>
  <si>
    <t xml:space="preserve">IMC Más Bajo: </t>
  </si>
  <si>
    <t>Cardoza Chero</t>
  </si>
  <si>
    <t>Walter David</t>
  </si>
  <si>
    <t xml:space="preserve">Edad Mayor: </t>
  </si>
  <si>
    <t>Nava Calderon</t>
  </si>
  <si>
    <t>Luigi Eduardo</t>
  </si>
  <si>
    <t xml:space="preserve">Edad Menor: </t>
  </si>
  <si>
    <t>Guarnizo Chalco</t>
  </si>
  <si>
    <t>Jesus Emilio</t>
  </si>
  <si>
    <t>Rios Ruiz</t>
  </si>
  <si>
    <t>Rocky Ray</t>
  </si>
  <si>
    <t>Sumar las mensualidades recibidas</t>
  </si>
  <si>
    <t>Nombres Y Apellidos</t>
  </si>
  <si>
    <t>COLOQUE LA FECHA ACTUAL</t>
  </si>
  <si>
    <t>De la fecha actual, extraer:</t>
  </si>
  <si>
    <t>Este Mes</t>
  </si>
  <si>
    <r>
      <t>Para calcular el</t>
    </r>
    <r>
      <rPr>
        <b/>
        <sz val="11"/>
        <color theme="1"/>
        <rFont val="Calibri"/>
        <family val="2"/>
        <scheme val="minor"/>
      </rPr>
      <t xml:space="preserve"> valor de las horas laboradas</t>
    </r>
    <r>
      <rPr>
        <sz val="11"/>
        <color theme="1"/>
        <rFont val="Calibri"/>
        <family val="2"/>
        <scheme val="minor"/>
      </rPr>
      <t>, debe tomar el valor del día y dividirlo entre 8 y luego</t>
    </r>
  </si>
  <si>
    <t>Promedio Valor Matrícula</t>
  </si>
  <si>
    <t>CANTIDAD DE VENDEDORES</t>
  </si>
  <si>
    <t>CANTIDAD DE VEHÍCULOS VENDIDOS</t>
  </si>
  <si>
    <t>Cantidad Pagos Atrazados Por Mes</t>
  </si>
  <si>
    <t>Consultar los valores actuales de las monedas y escribirlos en las respectivas celdas</t>
  </si>
  <si>
    <t>Valor del Euro:</t>
  </si>
  <si>
    <t>Valor Libra Esterlina:</t>
  </si>
  <si>
    <t>Versión: 20210210</t>
  </si>
  <si>
    <t>Incremento Para Semestre 2021-1</t>
  </si>
  <si>
    <t>OBJETIVOS DEL TALLER</t>
  </si>
  <si>
    <t>Hacer uso de las funciones básicas vistas: hoy, ahora, sifecha, texto,</t>
  </si>
  <si>
    <t>suma, promedio, kesimomayor, kesimomenor, contar, contra y</t>
  </si>
  <si>
    <t>contar.blanco.</t>
  </si>
  <si>
    <t>Aplica fórmulas para resolver las actividades.</t>
  </si>
  <si>
    <t>Utilizar referencias absolutas</t>
  </si>
  <si>
    <t>En la medida de lo posible, y según el conocimiento impartido,</t>
  </si>
  <si>
    <t>no realizar fórmulas una por una, sino realizar autorrellenos.</t>
  </si>
  <si>
    <t>Versión: 20220126</t>
  </si>
  <si>
    <t>de este mes de 2022</t>
  </si>
  <si>
    <t>Valor Semestre 2021-2</t>
  </si>
  <si>
    <t>Valor Semestre 2022-1</t>
  </si>
  <si>
    <r>
      <t xml:space="preserve">1.  Para hallar el valor del semestre 2022-1, debe incrementar al </t>
    </r>
    <r>
      <rPr>
        <b/>
        <sz val="11"/>
        <color theme="1"/>
        <rFont val="Times New Roman"/>
        <family val="1"/>
      </rPr>
      <t>valor de semestre anterior en</t>
    </r>
    <r>
      <rPr>
        <sz val="11"/>
        <color theme="1"/>
        <rFont val="Times New Roman"/>
        <family val="1"/>
      </rPr>
      <t xml:space="preserve"> el</t>
    </r>
    <r>
      <rPr>
        <b/>
        <sz val="11"/>
        <color theme="1"/>
        <rFont val="Times New Roman"/>
        <family val="1"/>
      </rPr>
      <t xml:space="preserve"> porcentaje</t>
    </r>
    <r>
      <rPr>
        <sz val="11"/>
        <color theme="1"/>
        <rFont val="Times New Roman"/>
        <family val="1"/>
      </rPr>
      <t xml:space="preserve"> indicado en la parte superior</t>
    </r>
  </si>
  <si>
    <r>
      <t xml:space="preserve">4.  el valor de la matricula es el </t>
    </r>
    <r>
      <rPr>
        <b/>
        <sz val="11"/>
        <color theme="1"/>
        <rFont val="Times New Roman"/>
        <family val="1"/>
      </rPr>
      <t>valor del semestre 2022-1</t>
    </r>
    <r>
      <rPr>
        <sz val="11"/>
        <color theme="1"/>
        <rFont val="Times New Roman"/>
        <family val="1"/>
      </rPr>
      <t xml:space="preserve"> mas el</t>
    </r>
    <r>
      <rPr>
        <b/>
        <sz val="11"/>
        <color theme="1"/>
        <rFont val="Times New Roman"/>
        <family val="1"/>
      </rPr>
      <t xml:space="preserve"> valor de las materias adicionales</t>
    </r>
    <r>
      <rPr>
        <sz val="11"/>
        <color theme="1"/>
        <rFont val="Times New Roman"/>
        <family val="1"/>
      </rPr>
      <t xml:space="preserve"> mas el </t>
    </r>
    <r>
      <rPr>
        <b/>
        <sz val="11"/>
        <color theme="1"/>
        <rFont val="Times New Roman"/>
        <family val="1"/>
      </rPr>
      <t>incremento adicional del seguro</t>
    </r>
    <r>
      <rPr>
        <sz val="11"/>
        <color theme="1"/>
        <rFont val="Times New Roman"/>
        <family val="1"/>
      </rPr>
      <t>.</t>
    </r>
  </si>
  <si>
    <t>RUBRICA DE CALIFICACION</t>
  </si>
  <si>
    <t>VALORACION</t>
  </si>
  <si>
    <t xml:space="preserve">Se evidencia de manera sobresaliente
</t>
  </si>
  <si>
    <t>Es correcto, pero aún puede mejorar</t>
  </si>
  <si>
    <t>No se cumple de forma satisfactoria</t>
  </si>
  <si>
    <t>Es deficiente y requiere mayor práctica.</t>
  </si>
  <si>
    <t>Nulo o no se evidencia.</t>
  </si>
  <si>
    <t>VALOR</t>
  </si>
  <si>
    <t>ITEM DESEMPEÑO</t>
  </si>
  <si>
    <t>NOTA FINAL</t>
  </si>
  <si>
    <t>Aplica formulas para resolver actividades</t>
  </si>
  <si>
    <t>Hace uso de las funciones básicas: hoy, ahora, sifecha, texto, suma, proemdio, kesimomayor, kesimomenor, 
contar, contara y contar.blanco</t>
  </si>
  <si>
    <t xml:space="preserve">Utiliza referencias absolutas </t>
  </si>
  <si>
    <t>Aplica y realiza autorrellenos</t>
  </si>
  <si>
    <t>EDUCACIÓN PARA EL TRABAJO Y EL DESARROLLO HUMANO</t>
  </si>
  <si>
    <t>CÓDIGO: M2-FR18</t>
  </si>
  <si>
    <t>VERSIÓN: 1</t>
  </si>
  <si>
    <t>Página 1 de 1</t>
  </si>
  <si>
    <t>MODELO</t>
  </si>
  <si>
    <t>RÚBRICAS DE CALIFICACIÓN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</si>
</sst>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2" formatCode="_-&quot;$&quot;\ * #,##0_-;\-&quot;$&quot;\ * #,##0_-;_-&quot;$&quot;\ * &quot;-&quot;_-;_-@_-"/>
    <numFmt numFmtId="43" formatCode="_-* #,##0.00_-;\-* #,##0.00_-;_-* &quot;-&quot;??_-;_-@_-"/>
    <numFmt numFmtId="164" formatCode="_-&quot;$&quot;* #,##0.00_-;\-&quot;$&quot;* #,##0.00_-;_-&quot;$&quot;* &quot;-&quot;??_-;_-@_-"/>
    <numFmt numFmtId="165" formatCode="&quot;$&quot;\ #,##0_);[Red]\(&quot;$&quot;\ #,##0\)"/>
    <numFmt numFmtId="166" formatCode="0.0"/>
    <numFmt numFmtId="167" formatCode="&quot;$&quot;\ #,##0"/>
    <numFmt numFmtId="168" formatCode="dd\-mmm\-yyyy"/>
    <numFmt numFmtId="169" formatCode="&quot;$&quot;\ #,##0.00"/>
    <numFmt numFmtId="170" formatCode="yy"/>
    <numFmt numFmtId="171" formatCode="[$-F800]dddd\,\ mmmm\ dd\,\ yyyy"/>
    <numFmt numFmtId="172" formatCode="yyyy"/>
    <numFmt numFmtId="173" formatCode="dddd"/>
    <numFmt numFmtId="174" formatCode="d"/>
    <numFmt numFmtId="175" formatCode="mmmm"/>
    <numFmt numFmtId="178" formatCode="[$USD]\ #,##0"/>
    <numFmt numFmtId="179" formatCode="[$EUR]\ #,##0"/>
    <numFmt numFmtId="180" formatCode="[$GBP]\ #,##0"/>
    <numFmt numFmtId="181" formatCode="[$VEF]\ #,##0"/>
    <numFmt numFmtId="183" formatCode="_-&quot;$&quot;* #,##0_-;\-&quot;$&quot;* #,##0_-;_-&quot;$&quot;* &quot;-&quot;??_-;_-@_-"/>
  </numFmts>
  <fonts count="63">
    <font>
      <sz val="11"/>
      <color theme="1"/>
      <name val="Calibri"/>
      <family val="2"/>
      <scheme val="minor"/>
    </font>
    <font>
      <b/>
      <sz val="11"/>
      <color theme="0"/>
      <name val="Calibri"/>
      <family val="2"/>
      <scheme val="minor"/>
    </font>
    <font>
      <b/>
      <sz val="11"/>
      <color theme="1"/>
      <name val="Calibri"/>
      <family val="2"/>
      <scheme val="minor"/>
    </font>
    <font>
      <sz val="10"/>
      <color theme="1"/>
      <name val="Times New Roman"/>
      <family val="1"/>
    </font>
    <font>
      <sz val="11"/>
      <color rgb="FF000000"/>
      <name val="Calibri"/>
      <family val="2"/>
    </font>
    <font>
      <b/>
      <sz val="11"/>
      <color rgb="FF000000"/>
      <name val="Calibri"/>
      <family val="2"/>
    </font>
    <font>
      <sz val="12"/>
      <color rgb="FF000000"/>
      <name val="Calibri"/>
      <family val="2"/>
    </font>
    <font>
      <b/>
      <sz val="10"/>
      <color theme="1"/>
      <name val="Arial"/>
      <family val="2"/>
    </font>
    <font>
      <sz val="12"/>
      <color theme="1"/>
      <name val="Calibri"/>
      <family val="2"/>
      <scheme val="minor"/>
    </font>
    <font>
      <b/>
      <sz val="12"/>
      <color rgb="FF000000"/>
      <name val="Calibri"/>
      <family val="2"/>
    </font>
    <font>
      <b/>
      <sz val="10"/>
      <color theme="1"/>
      <name val="Times New Roman"/>
      <family val="1"/>
    </font>
    <font>
      <b/>
      <sz val="10"/>
      <color rgb="FF000000"/>
      <name val="Calibri"/>
      <family val="2"/>
    </font>
    <font>
      <b/>
      <sz val="11"/>
      <color theme="1"/>
      <name val="Times New Roman"/>
      <family val="1"/>
    </font>
    <font>
      <sz val="10"/>
      <color theme="1"/>
      <name val="Arial"/>
      <family val="2"/>
    </font>
    <font>
      <b/>
      <u/>
      <sz val="16"/>
      <color theme="1"/>
      <name val="Arial"/>
      <family val="2"/>
    </font>
    <font>
      <b/>
      <sz val="14"/>
      <color theme="9" tint="-0.249977111117893"/>
      <name val="Calibri"/>
      <family val="2"/>
      <scheme val="minor"/>
    </font>
    <font>
      <b/>
      <sz val="14"/>
      <color theme="0"/>
      <name val="Calibri"/>
      <family val="2"/>
      <scheme val="minor"/>
    </font>
    <font>
      <b/>
      <sz val="14"/>
      <color theme="1"/>
      <name val="Calibri"/>
      <family val="2"/>
      <scheme val="minor"/>
    </font>
    <font>
      <b/>
      <sz val="20"/>
      <color theme="1"/>
      <name val="Calibri"/>
      <family val="2"/>
      <scheme val="minor"/>
    </font>
    <font>
      <b/>
      <sz val="9"/>
      <color indexed="81"/>
      <name val="Tahoma"/>
      <family val="2"/>
    </font>
    <font>
      <sz val="9"/>
      <color indexed="81"/>
      <name val="Tahoma"/>
      <family val="2"/>
    </font>
    <font>
      <b/>
      <i/>
      <sz val="11"/>
      <color theme="1"/>
      <name val="Calibri"/>
      <family val="2"/>
      <scheme val="minor"/>
    </font>
    <font>
      <b/>
      <i/>
      <sz val="10"/>
      <color theme="1"/>
      <name val="Times New Roman"/>
      <family val="1"/>
    </font>
    <font>
      <b/>
      <i/>
      <sz val="8"/>
      <color theme="1"/>
      <name val="Arial"/>
      <family val="2"/>
    </font>
    <font>
      <b/>
      <i/>
      <sz val="10"/>
      <color theme="1"/>
      <name val="Calibri"/>
      <family val="2"/>
      <scheme val="minor"/>
    </font>
    <font>
      <sz val="11"/>
      <color theme="1"/>
      <name val="Times New Roman"/>
      <family val="1"/>
    </font>
    <font>
      <b/>
      <sz val="12"/>
      <color theme="1"/>
      <name val="Calibri"/>
      <family val="2"/>
      <scheme val="minor"/>
    </font>
    <font>
      <b/>
      <sz val="14"/>
      <name val="Calibri"/>
      <family val="2"/>
    </font>
    <font>
      <b/>
      <sz val="16"/>
      <color theme="6" tint="0.79998168889431442"/>
      <name val="Calibri"/>
      <family val="2"/>
    </font>
    <font>
      <b/>
      <sz val="16"/>
      <color theme="1"/>
      <name val="Calibri"/>
      <family val="2"/>
      <scheme val="minor"/>
    </font>
    <font>
      <b/>
      <u/>
      <sz val="16"/>
      <color theme="1"/>
      <name val="Calibri"/>
      <family val="2"/>
      <scheme val="minor"/>
    </font>
    <font>
      <b/>
      <sz val="12"/>
      <name val="Calibri"/>
      <family val="2"/>
      <scheme val="minor"/>
    </font>
    <font>
      <b/>
      <i/>
      <sz val="9"/>
      <color theme="1"/>
      <name val="Calibri"/>
      <family val="2"/>
      <scheme val="minor"/>
    </font>
    <font>
      <b/>
      <sz val="14"/>
      <name val="Calibri"/>
      <family val="2"/>
      <scheme val="minor"/>
    </font>
    <font>
      <sz val="10"/>
      <name val="Arial"/>
      <family val="2"/>
    </font>
    <font>
      <b/>
      <sz val="18"/>
      <color theme="1"/>
      <name val="Calibri"/>
      <family val="2"/>
      <scheme val="minor"/>
    </font>
    <font>
      <b/>
      <sz val="18"/>
      <color theme="1"/>
      <name val="Calibri"/>
      <family val="2"/>
    </font>
    <font>
      <b/>
      <sz val="11"/>
      <color theme="1"/>
      <name val="Calibri"/>
      <family val="2"/>
    </font>
    <font>
      <sz val="11"/>
      <color theme="1"/>
      <name val="Calibri"/>
      <family val="2"/>
    </font>
    <font>
      <b/>
      <sz val="12"/>
      <color theme="1"/>
      <name val="Calibri"/>
      <family val="2"/>
    </font>
    <font>
      <b/>
      <u val="double"/>
      <sz val="36"/>
      <color theme="1"/>
      <name val="Calibri"/>
      <family val="2"/>
      <scheme val="minor"/>
    </font>
    <font>
      <b/>
      <sz val="16"/>
      <color rgb="FFC00000"/>
      <name val="Arial"/>
      <family val="2"/>
    </font>
    <font>
      <b/>
      <i/>
      <sz val="14"/>
      <color theme="0"/>
      <name val="Arial"/>
      <family val="2"/>
    </font>
    <font>
      <sz val="10"/>
      <color theme="0"/>
      <name val="Arial"/>
      <family val="2"/>
    </font>
    <font>
      <b/>
      <i/>
      <sz val="10"/>
      <name val="Arial"/>
      <family val="2"/>
    </font>
    <font>
      <b/>
      <i/>
      <sz val="10"/>
      <color theme="0"/>
      <name val="Arial"/>
      <family val="2"/>
    </font>
    <font>
      <b/>
      <sz val="10"/>
      <color theme="0"/>
      <name val="Arial"/>
      <family val="2"/>
    </font>
    <font>
      <b/>
      <sz val="20"/>
      <color theme="0"/>
      <name val="Arial"/>
      <family val="2"/>
    </font>
    <font>
      <b/>
      <sz val="14"/>
      <color theme="0"/>
      <name val="Arial"/>
      <family val="2"/>
    </font>
    <font>
      <b/>
      <u/>
      <sz val="10"/>
      <color theme="0"/>
      <name val="Arial"/>
      <family val="2"/>
    </font>
    <font>
      <sz val="10"/>
      <color rgb="FFC00000"/>
      <name val="Arial"/>
      <family val="2"/>
    </font>
    <font>
      <sz val="12"/>
      <color rgb="FFC00000"/>
      <name val="Times New Roman"/>
      <family val="1"/>
    </font>
    <font>
      <b/>
      <sz val="12"/>
      <color rgb="FFC00000"/>
      <name val="Times New Roman"/>
      <family val="1"/>
    </font>
    <font>
      <b/>
      <u/>
      <sz val="11"/>
      <color theme="0"/>
      <name val="Calibri"/>
      <family val="2"/>
      <scheme val="minor"/>
    </font>
    <font>
      <b/>
      <sz val="10"/>
      <name val="Arial"/>
      <family val="2"/>
    </font>
    <font>
      <sz val="11"/>
      <color theme="1"/>
      <name val="Calibri"/>
      <family val="2"/>
      <scheme val="minor"/>
    </font>
    <font>
      <b/>
      <sz val="20"/>
      <name val="Arial"/>
      <family val="2"/>
    </font>
    <font>
      <sz val="11"/>
      <name val="Quicksand"/>
    </font>
    <font>
      <b/>
      <sz val="11"/>
      <name val="Quicksand"/>
    </font>
    <font>
      <b/>
      <sz val="14"/>
      <name val="Arial"/>
      <family val="2"/>
    </font>
    <font>
      <u/>
      <sz val="10"/>
      <name val="Arial"/>
      <family val="2"/>
    </font>
    <font>
      <sz val="8"/>
      <name val="Arial"/>
      <family val="2"/>
    </font>
    <font>
      <b/>
      <sz val="11"/>
      <name val="Arial"/>
      <family val="2"/>
    </font>
  </fonts>
  <fills count="24">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tint="-0.499984740745262"/>
        <bgColor indexed="64"/>
      </patternFill>
    </fill>
    <fill>
      <patternFill patternType="solid">
        <fgColor theme="6" tint="-0.249977111117893"/>
        <bgColor indexed="64"/>
      </patternFill>
    </fill>
  </fills>
  <borders count="57">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style="thick">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bottom/>
      <diagonal/>
    </border>
    <border>
      <left/>
      <right style="thick">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style="thin">
        <color theme="0"/>
      </bottom>
      <diagonal/>
    </border>
    <border>
      <left/>
      <right style="thin">
        <color indexed="64"/>
      </right>
      <top/>
      <bottom style="thin">
        <color indexed="64"/>
      </bottom>
      <diagonal/>
    </border>
    <border>
      <left/>
      <right style="thin">
        <color theme="0"/>
      </right>
      <top style="thin">
        <color theme="0"/>
      </top>
      <bottom/>
      <diagonal/>
    </border>
    <border>
      <left style="thin">
        <color indexed="64"/>
      </left>
      <right/>
      <top style="thin">
        <color indexed="64"/>
      </top>
      <bottom/>
      <diagonal/>
    </border>
    <border>
      <left/>
      <right style="thin">
        <color theme="0"/>
      </right>
      <top/>
      <bottom style="thin">
        <color theme="0"/>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0" fontId="34" fillId="0" borderId="0"/>
    <xf numFmtId="164" fontId="55" fillId="0" borderId="0" applyFont="0" applyFill="0" applyBorder="0" applyAlignment="0" applyProtection="0"/>
    <xf numFmtId="43" fontId="55" fillId="0" borderId="0" applyFont="0" applyFill="0" applyBorder="0" applyAlignment="0" applyProtection="0"/>
  </cellStyleXfs>
  <cellXfs count="316">
    <xf numFmtId="0" fontId="0" fillId="0" borderId="0" xfId="0"/>
    <xf numFmtId="0" fontId="3" fillId="0" borderId="0" xfId="0" applyFont="1"/>
    <xf numFmtId="0" fontId="3" fillId="0" borderId="4" xfId="0" applyFont="1" applyBorder="1"/>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0" fillId="0" borderId="13" xfId="0" applyBorder="1"/>
    <xf numFmtId="166" fontId="6" fillId="0" borderId="18" xfId="0" applyNumberFormat="1" applyFont="1" applyBorder="1" applyAlignment="1">
      <alignment horizontal="center" vertical="center"/>
    </xf>
    <xf numFmtId="166" fontId="6" fillId="0" borderId="19" xfId="0" applyNumberFormat="1" applyFont="1" applyBorder="1" applyAlignment="1">
      <alignment horizontal="center" vertical="center"/>
    </xf>
    <xf numFmtId="166" fontId="8" fillId="0" borderId="19" xfId="0" applyNumberFormat="1" applyFont="1" applyBorder="1" applyAlignment="1">
      <alignment horizontal="center"/>
    </xf>
    <xf numFmtId="166" fontId="8" fillId="0" borderId="20" xfId="0" applyNumberFormat="1" applyFont="1" applyBorder="1" applyAlignment="1">
      <alignment horizontal="center"/>
    </xf>
    <xf numFmtId="165" fontId="6" fillId="0" borderId="21" xfId="0" applyNumberFormat="1" applyFont="1" applyFill="1" applyBorder="1" applyAlignment="1">
      <alignment vertical="center"/>
    </xf>
    <xf numFmtId="0" fontId="2" fillId="0" borderId="0" xfId="0" applyFont="1"/>
    <xf numFmtId="0" fontId="4" fillId="0" borderId="7" xfId="0" applyFont="1" applyBorder="1" applyAlignment="1">
      <alignment vertical="center"/>
    </xf>
    <xf numFmtId="0" fontId="4" fillId="0" borderId="9"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8" xfId="0" applyFont="1" applyBorder="1" applyAlignment="1">
      <alignment vertical="center"/>
    </xf>
    <xf numFmtId="0" fontId="10" fillId="0" borderId="0" xfId="0" applyFont="1"/>
    <xf numFmtId="0" fontId="3" fillId="0" borderId="0" xfId="0" applyFont="1" applyAlignment="1">
      <alignment vertical="center" wrapText="1"/>
    </xf>
    <xf numFmtId="165" fontId="4" fillId="0" borderId="13" xfId="0" applyNumberFormat="1" applyFont="1" applyBorder="1" applyAlignment="1">
      <alignment horizontal="right" vertical="center"/>
    </xf>
    <xf numFmtId="0" fontId="4" fillId="0" borderId="13" xfId="0" applyFont="1" applyBorder="1" applyAlignment="1">
      <alignment vertical="center"/>
    </xf>
    <xf numFmtId="0" fontId="4" fillId="0" borderId="13" xfId="0" applyFont="1" applyBorder="1" applyAlignment="1">
      <alignment horizontal="center" vertical="center"/>
    </xf>
    <xf numFmtId="165" fontId="11" fillId="0" borderId="13" xfId="0" applyNumberFormat="1" applyFont="1" applyFill="1" applyBorder="1" applyAlignment="1">
      <alignment vertical="center"/>
    </xf>
    <xf numFmtId="0" fontId="12" fillId="0" borderId="0" xfId="0" applyFont="1" applyBorder="1" applyAlignment="1">
      <alignment vertical="center" wrapText="1"/>
    </xf>
    <xf numFmtId="0" fontId="7" fillId="0" borderId="0" xfId="0" applyFont="1" applyFill="1" applyBorder="1" applyAlignment="1">
      <alignment horizontal="center" vertical="center"/>
    </xf>
    <xf numFmtId="0" fontId="15" fillId="0" borderId="0" xfId="0" applyFont="1" applyFill="1" applyBorder="1" applyAlignment="1">
      <alignment vertical="top"/>
    </xf>
    <xf numFmtId="0" fontId="0" fillId="0" borderId="0" xfId="0" applyFill="1" applyBorder="1"/>
    <xf numFmtId="0" fontId="1" fillId="2" borderId="0" xfId="0" applyFont="1" applyFill="1" applyAlignment="1">
      <alignment horizontal="center" vertical="center" wrapText="1"/>
    </xf>
    <xf numFmtId="9" fontId="1" fillId="2" borderId="0" xfId="0" applyNumberFormat="1" applyFont="1" applyFill="1" applyAlignment="1">
      <alignment horizontal="center" vertical="center"/>
    </xf>
    <xf numFmtId="0" fontId="0" fillId="0" borderId="13" xfId="0" applyFont="1" applyBorder="1"/>
    <xf numFmtId="165" fontId="4" fillId="3" borderId="13" xfId="0" applyNumberFormat="1" applyFont="1" applyFill="1" applyBorder="1" applyAlignment="1">
      <alignment horizontal="right" vertical="center"/>
    </xf>
    <xf numFmtId="0" fontId="0" fillId="3" borderId="13" xfId="0" applyFont="1" applyFill="1" applyBorder="1"/>
    <xf numFmtId="0" fontId="13" fillId="0" borderId="13" xfId="0" applyFont="1" applyBorder="1" applyAlignment="1">
      <alignment vertical="center"/>
    </xf>
    <xf numFmtId="0" fontId="18" fillId="0" borderId="0" xfId="0" applyFont="1" applyAlignment="1">
      <alignment horizontal="center" vertical="center"/>
    </xf>
    <xf numFmtId="0" fontId="21" fillId="0" borderId="0" xfId="0" applyFont="1"/>
    <xf numFmtId="0" fontId="6" fillId="0" borderId="21" xfId="0" applyFont="1" applyBorder="1" applyAlignment="1">
      <alignment vertical="center"/>
    </xf>
    <xf numFmtId="0" fontId="6" fillId="0" borderId="22" xfId="0" applyFont="1" applyBorder="1" applyAlignment="1">
      <alignment vertical="center"/>
    </xf>
    <xf numFmtId="0" fontId="6" fillId="0" borderId="23" xfId="0" applyFont="1" applyBorder="1" applyAlignment="1">
      <alignment vertical="center"/>
    </xf>
    <xf numFmtId="0" fontId="22" fillId="0" borderId="4" xfId="0" applyFont="1" applyBorder="1"/>
    <xf numFmtId="0" fontId="22" fillId="0" borderId="0" xfId="0" applyFont="1"/>
    <xf numFmtId="0" fontId="0" fillId="0" borderId="0" xfId="0" applyBorder="1"/>
    <xf numFmtId="0" fontId="13" fillId="0" borderId="13" xfId="0" applyFont="1" applyBorder="1" applyAlignment="1">
      <alignment horizontal="center" vertical="center"/>
    </xf>
    <xf numFmtId="0" fontId="14" fillId="0" borderId="0" xfId="0" applyFont="1" applyBorder="1" applyAlignment="1">
      <alignment horizontal="center" vertical="center"/>
    </xf>
    <xf numFmtId="0" fontId="7" fillId="0" borderId="0" xfId="0" applyFont="1" applyFill="1" applyBorder="1" applyAlignment="1">
      <alignment horizontal="center" vertical="center" wrapText="1"/>
    </xf>
    <xf numFmtId="0" fontId="0" fillId="0" borderId="13" xfId="0" applyBorder="1" applyAlignment="1">
      <alignment horizontal="center" vertical="center"/>
    </xf>
    <xf numFmtId="0" fontId="4" fillId="0" borderId="28" xfId="0" applyFont="1" applyBorder="1" applyAlignment="1">
      <alignment horizontal="center" vertical="center"/>
    </xf>
    <xf numFmtId="0" fontId="7" fillId="0" borderId="13" xfId="0" applyFont="1" applyBorder="1" applyAlignment="1">
      <alignment horizontal="left" vertical="center"/>
    </xf>
    <xf numFmtId="0" fontId="1" fillId="2" borderId="0" xfId="0" applyFont="1" applyFill="1" applyAlignment="1">
      <alignment horizontal="center" vertical="center" wrapText="1"/>
    </xf>
    <xf numFmtId="0" fontId="25" fillId="0" borderId="0" xfId="0" applyFont="1"/>
    <xf numFmtId="168" fontId="6" fillId="0" borderId="18" xfId="0" applyNumberFormat="1" applyFont="1" applyBorder="1" applyAlignment="1">
      <alignment vertical="center"/>
    </xf>
    <xf numFmtId="0" fontId="2" fillId="0" borderId="0" xfId="0" applyFont="1" applyAlignment="1">
      <alignment horizontal="left" indent="2"/>
    </xf>
    <xf numFmtId="0" fontId="2" fillId="0" borderId="0" xfId="0" applyFont="1" applyAlignment="1">
      <alignment horizontal="left"/>
    </xf>
    <xf numFmtId="0" fontId="2" fillId="0" borderId="0" xfId="0" applyFont="1" applyBorder="1" applyAlignment="1">
      <alignment horizontal="center"/>
    </xf>
    <xf numFmtId="0" fontId="0" fillId="3" borderId="13" xfId="0" applyFont="1" applyFill="1" applyBorder="1" applyAlignment="1">
      <alignment horizontal="center"/>
    </xf>
    <xf numFmtId="0" fontId="2" fillId="5" borderId="13" xfId="0" applyFont="1" applyFill="1" applyBorder="1" applyAlignment="1">
      <alignment horizontal="center"/>
    </xf>
    <xf numFmtId="0" fontId="26" fillId="0" borderId="0" xfId="0" applyFont="1" applyAlignment="1">
      <alignment horizontal="center" vertical="center" wrapText="1"/>
    </xf>
    <xf numFmtId="0" fontId="1" fillId="2" borderId="0" xfId="0" applyFont="1" applyFill="1" applyAlignment="1">
      <alignment horizontal="center" vertical="center" wrapText="1"/>
    </xf>
    <xf numFmtId="165" fontId="5" fillId="7" borderId="16" xfId="0" applyNumberFormat="1" applyFont="1" applyFill="1" applyBorder="1" applyAlignment="1">
      <alignment horizontal="center" vertical="center"/>
    </xf>
    <xf numFmtId="165" fontId="9" fillId="7" borderId="16" xfId="0" applyNumberFormat="1" applyFont="1" applyFill="1" applyBorder="1" applyAlignment="1">
      <alignment horizontal="center" vertical="center" wrapText="1"/>
    </xf>
    <xf numFmtId="0" fontId="13" fillId="0" borderId="0" xfId="0" applyFont="1" applyBorder="1" applyAlignment="1">
      <alignment vertical="center"/>
    </xf>
    <xf numFmtId="0" fontId="13" fillId="13" borderId="13" xfId="0" applyFont="1" applyFill="1" applyBorder="1" applyAlignment="1">
      <alignment vertical="center"/>
    </xf>
    <xf numFmtId="0" fontId="4" fillId="13" borderId="13" xfId="0" applyFont="1" applyFill="1" applyBorder="1" applyAlignment="1">
      <alignment vertical="center"/>
    </xf>
    <xf numFmtId="0" fontId="0" fillId="13" borderId="13" xfId="0" applyFill="1" applyBorder="1"/>
    <xf numFmtId="0" fontId="0" fillId="14" borderId="13" xfId="0" applyFill="1" applyBorder="1"/>
    <xf numFmtId="0" fontId="4" fillId="14" borderId="13" xfId="0" applyFont="1" applyFill="1" applyBorder="1" applyAlignment="1">
      <alignment vertical="center"/>
    </xf>
    <xf numFmtId="0" fontId="0" fillId="15" borderId="13" xfId="0" applyFill="1" applyBorder="1"/>
    <xf numFmtId="0" fontId="13" fillId="15" borderId="13" xfId="0" applyFont="1" applyFill="1" applyBorder="1" applyAlignment="1">
      <alignment vertical="center"/>
    </xf>
    <xf numFmtId="0" fontId="4" fillId="15" borderId="13" xfId="0" applyFont="1" applyFill="1" applyBorder="1" applyAlignment="1">
      <alignment vertical="center"/>
    </xf>
    <xf numFmtId="0" fontId="0" fillId="16" borderId="13" xfId="0" applyFill="1" applyBorder="1"/>
    <xf numFmtId="0" fontId="0" fillId="17" borderId="13" xfId="0" applyFill="1" applyBorder="1"/>
    <xf numFmtId="0" fontId="2" fillId="18" borderId="13" xfId="0" applyFont="1" applyFill="1" applyBorder="1" applyAlignment="1">
      <alignment horizontal="center"/>
    </xf>
    <xf numFmtId="0" fontId="2" fillId="19" borderId="13" xfId="0" applyFont="1" applyFill="1" applyBorder="1" applyAlignment="1">
      <alignment horizontal="center"/>
    </xf>
    <xf numFmtId="0" fontId="2" fillId="7" borderId="13" xfId="0" applyFont="1" applyFill="1" applyBorder="1" applyAlignment="1">
      <alignment horizontal="center"/>
    </xf>
    <xf numFmtId="0" fontId="0" fillId="0" borderId="13" xfId="0" applyFill="1" applyBorder="1"/>
    <xf numFmtId="0" fontId="26" fillId="0" borderId="27" xfId="0" applyFont="1" applyBorder="1" applyAlignment="1">
      <alignment vertical="center" wrapText="1"/>
    </xf>
    <xf numFmtId="0" fontId="26" fillId="0" borderId="0" xfId="0" applyFont="1" applyAlignment="1">
      <alignment vertical="center" wrapText="1"/>
    </xf>
    <xf numFmtId="0" fontId="32" fillId="0" borderId="0" xfId="0" applyFont="1"/>
    <xf numFmtId="0" fontId="5" fillId="12" borderId="16" xfId="0" applyFont="1" applyFill="1" applyBorder="1" applyAlignment="1">
      <alignment vertical="center"/>
    </xf>
    <xf numFmtId="0" fontId="5" fillId="12" borderId="25" xfId="0" applyFont="1" applyFill="1" applyBorder="1" applyAlignment="1">
      <alignment vertical="center"/>
    </xf>
    <xf numFmtId="165" fontId="6" fillId="12" borderId="24" xfId="0" applyNumberFormat="1" applyFont="1" applyFill="1" applyBorder="1" applyAlignment="1">
      <alignment horizontal="right" vertical="center"/>
    </xf>
    <xf numFmtId="9" fontId="6" fillId="12" borderId="26" xfId="0" applyNumberFormat="1" applyFont="1" applyFill="1" applyBorder="1" applyAlignment="1">
      <alignment horizontal="right" vertical="center"/>
    </xf>
    <xf numFmtId="167" fontId="6" fillId="12" borderId="16" xfId="0" applyNumberFormat="1" applyFont="1" applyFill="1" applyBorder="1" applyAlignment="1">
      <alignment horizontal="right" vertical="center"/>
    </xf>
    <xf numFmtId="165" fontId="13" fillId="12" borderId="13" xfId="0" applyNumberFormat="1" applyFont="1" applyFill="1" applyBorder="1" applyAlignment="1">
      <alignment horizontal="right" vertical="center"/>
    </xf>
    <xf numFmtId="9" fontId="13" fillId="12" borderId="13" xfId="0" applyNumberFormat="1" applyFont="1" applyFill="1" applyBorder="1" applyAlignment="1">
      <alignment horizontal="center" vertical="center"/>
    </xf>
    <xf numFmtId="0" fontId="7" fillId="12" borderId="13" xfId="0" applyFont="1" applyFill="1" applyBorder="1" applyAlignment="1">
      <alignment horizontal="center" vertical="center" wrapText="1"/>
    </xf>
    <xf numFmtId="0" fontId="7" fillId="11" borderId="13" xfId="0" applyFont="1" applyFill="1" applyBorder="1" applyAlignment="1">
      <alignment horizontal="right" vertical="center"/>
    </xf>
    <xf numFmtId="0" fontId="13" fillId="12" borderId="13" xfId="0" applyFont="1" applyFill="1" applyBorder="1" applyAlignment="1">
      <alignment vertical="center"/>
    </xf>
    <xf numFmtId="0" fontId="13" fillId="10" borderId="13" xfId="0" applyFont="1" applyFill="1" applyBorder="1" applyAlignment="1">
      <alignment vertical="center"/>
    </xf>
    <xf numFmtId="0" fontId="4" fillId="10" borderId="13" xfId="0" applyFont="1" applyFill="1" applyBorder="1" applyAlignment="1">
      <alignment vertical="center"/>
    </xf>
    <xf numFmtId="0" fontId="0" fillId="10" borderId="13" xfId="0" applyFill="1" applyBorder="1"/>
    <xf numFmtId="0" fontId="7" fillId="10" borderId="13" xfId="0" applyFont="1" applyFill="1" applyBorder="1" applyAlignment="1">
      <alignment vertical="center"/>
    </xf>
    <xf numFmtId="0" fontId="2" fillId="10" borderId="13" xfId="0" applyFont="1" applyFill="1" applyBorder="1"/>
    <xf numFmtId="0" fontId="2" fillId="10" borderId="13" xfId="0" applyFont="1" applyFill="1" applyBorder="1" applyAlignment="1">
      <alignment horizontal="right"/>
    </xf>
    <xf numFmtId="0" fontId="2" fillId="11" borderId="13" xfId="0" applyFont="1" applyFill="1" applyBorder="1" applyAlignment="1">
      <alignment horizontal="center" vertical="center" wrapText="1"/>
    </xf>
    <xf numFmtId="0" fontId="2" fillId="11" borderId="30" xfId="0" applyFont="1" applyFill="1" applyBorder="1" applyAlignment="1">
      <alignment horizontal="center" vertical="center" wrapText="1"/>
    </xf>
    <xf numFmtId="0" fontId="2" fillId="12" borderId="13" xfId="0" applyFont="1" applyFill="1" applyBorder="1"/>
    <xf numFmtId="0" fontId="32" fillId="0" borderId="0" xfId="0" applyFont="1" applyFill="1" applyBorder="1"/>
    <xf numFmtId="0" fontId="39" fillId="10" borderId="13" xfId="0" applyFont="1" applyFill="1" applyBorder="1" applyAlignment="1">
      <alignment horizontal="center" vertical="center" wrapText="1"/>
    </xf>
    <xf numFmtId="0" fontId="37" fillId="3" borderId="13" xfId="0" applyFont="1" applyFill="1" applyBorder="1" applyAlignment="1">
      <alignment horizontal="center" vertical="center"/>
    </xf>
    <xf numFmtId="0" fontId="5" fillId="7" borderId="13" xfId="0" applyFont="1" applyFill="1" applyBorder="1" applyAlignment="1">
      <alignment horizontal="center" vertical="center"/>
    </xf>
    <xf numFmtId="164" fontId="2" fillId="12" borderId="30" xfId="2" applyFont="1" applyFill="1" applyBorder="1"/>
    <xf numFmtId="0" fontId="34" fillId="0" borderId="0" xfId="1" applyProtection="1"/>
    <xf numFmtId="0" fontId="2" fillId="0" borderId="0" xfId="0" applyFont="1" applyAlignment="1" applyProtection="1">
      <alignment horizontal="center" vertical="center"/>
    </xf>
    <xf numFmtId="0" fontId="2" fillId="0" borderId="0" xfId="0" applyFont="1" applyProtection="1"/>
    <xf numFmtId="0" fontId="34" fillId="0" borderId="0" xfId="1" applyNumberFormat="1" applyProtection="1"/>
    <xf numFmtId="0" fontId="43" fillId="0" borderId="0" xfId="1" applyFont="1" applyFill="1" applyAlignment="1" applyProtection="1"/>
    <xf numFmtId="0" fontId="44" fillId="0" borderId="0" xfId="1" applyFont="1" applyProtection="1"/>
    <xf numFmtId="0" fontId="46" fillId="2" borderId="41" xfId="1" applyFont="1" applyFill="1" applyBorder="1" applyAlignment="1" applyProtection="1">
      <alignment horizontal="center" vertical="center"/>
    </xf>
    <xf numFmtId="0" fontId="0" fillId="0" borderId="0" xfId="0" applyProtection="1"/>
    <xf numFmtId="9" fontId="48" fillId="2" borderId="41" xfId="1" applyNumberFormat="1" applyFont="1" applyFill="1" applyBorder="1" applyAlignment="1" applyProtection="1">
      <alignment horizontal="center" vertical="center"/>
    </xf>
    <xf numFmtId="0" fontId="50" fillId="0" borderId="0" xfId="1" applyFont="1" applyProtection="1"/>
    <xf numFmtId="0" fontId="51" fillId="0" borderId="42" xfId="1" applyFont="1" applyBorder="1" applyAlignment="1" applyProtection="1"/>
    <xf numFmtId="0" fontId="51" fillId="0" borderId="0" xfId="1" applyFont="1" applyProtection="1"/>
    <xf numFmtId="0" fontId="52" fillId="0" borderId="0" xfId="1" applyFont="1" applyAlignment="1" applyProtection="1">
      <alignment horizontal="right"/>
    </xf>
    <xf numFmtId="0" fontId="46" fillId="2" borderId="43" xfId="1" applyFont="1" applyFill="1" applyBorder="1" applyAlignment="1" applyProtection="1">
      <alignment horizontal="center" vertical="center" wrapText="1"/>
    </xf>
    <xf numFmtId="0" fontId="46" fillId="2" borderId="0" xfId="1" applyFont="1" applyFill="1" applyAlignment="1" applyProtection="1">
      <alignment horizontal="center" vertical="center" wrapText="1"/>
    </xf>
    <xf numFmtId="0" fontId="46" fillId="2" borderId="41" xfId="1" applyFont="1" applyFill="1" applyBorder="1" applyAlignment="1" applyProtection="1">
      <alignment horizontal="right"/>
    </xf>
    <xf numFmtId="0" fontId="34" fillId="0" borderId="17" xfId="1" applyBorder="1" applyProtection="1"/>
    <xf numFmtId="0" fontId="46" fillId="2" borderId="13" xfId="1" applyFont="1" applyFill="1" applyBorder="1" applyAlignment="1" applyProtection="1">
      <alignment horizontal="right"/>
    </xf>
    <xf numFmtId="0" fontId="34" fillId="0" borderId="13" xfId="1" applyBorder="1" applyProtection="1"/>
    <xf numFmtId="0" fontId="34" fillId="0" borderId="46" xfId="1" applyBorder="1" applyProtection="1"/>
    <xf numFmtId="0" fontId="1" fillId="2" borderId="41" xfId="0" applyFont="1" applyFill="1" applyBorder="1" applyAlignment="1" applyProtection="1">
      <alignment horizontal="right"/>
    </xf>
    <xf numFmtId="0" fontId="34" fillId="0" borderId="0" xfId="1" applyAlignment="1" applyProtection="1">
      <alignment horizontal="center"/>
    </xf>
    <xf numFmtId="0" fontId="9" fillId="23" borderId="13" xfId="0" applyFont="1" applyFill="1" applyBorder="1" applyAlignment="1">
      <alignment horizontal="center" vertical="center" wrapText="1"/>
    </xf>
    <xf numFmtId="0" fontId="5" fillId="23" borderId="13" xfId="0" applyFont="1" applyFill="1" applyBorder="1" applyAlignment="1">
      <alignment horizontal="right" vertical="center"/>
    </xf>
    <xf numFmtId="0" fontId="12" fillId="23" borderId="29" xfId="0" applyFont="1" applyFill="1" applyBorder="1"/>
    <xf numFmtId="0" fontId="12" fillId="23" borderId="13" xfId="0" applyFont="1" applyFill="1" applyBorder="1"/>
    <xf numFmtId="0" fontId="2" fillId="23" borderId="13" xfId="0" applyFont="1" applyFill="1" applyBorder="1" applyAlignment="1">
      <alignment horizontal="center" vertical="center" wrapText="1"/>
    </xf>
    <xf numFmtId="165" fontId="4" fillId="7" borderId="13" xfId="0" applyNumberFormat="1" applyFont="1" applyFill="1" applyBorder="1" applyAlignment="1">
      <alignment horizontal="right" vertical="center"/>
    </xf>
    <xf numFmtId="10" fontId="4" fillId="7" borderId="13" xfId="0" applyNumberFormat="1" applyFont="1" applyFill="1" applyBorder="1" applyAlignment="1">
      <alignment horizontal="center" vertical="center"/>
    </xf>
    <xf numFmtId="9" fontId="12" fillId="7" borderId="29" xfId="0" applyNumberFormat="1" applyFont="1" applyFill="1" applyBorder="1"/>
    <xf numFmtId="9" fontId="12" fillId="7" borderId="13" xfId="0" applyNumberFormat="1" applyFont="1" applyFill="1" applyBorder="1"/>
    <xf numFmtId="0" fontId="0" fillId="7" borderId="13" xfId="0" applyFill="1" applyBorder="1"/>
    <xf numFmtId="0" fontId="5" fillId="23" borderId="13" xfId="0" applyFont="1" applyFill="1" applyBorder="1" applyAlignment="1">
      <alignment vertical="center"/>
    </xf>
    <xf numFmtId="0" fontId="4" fillId="6" borderId="13" xfId="0" applyFont="1" applyFill="1" applyBorder="1" applyAlignment="1">
      <alignment vertical="center"/>
    </xf>
    <xf numFmtId="0" fontId="5" fillId="7" borderId="13" xfId="0" applyFont="1" applyFill="1" applyBorder="1" applyAlignment="1">
      <alignment horizontal="center" vertical="center"/>
    </xf>
    <xf numFmtId="0" fontId="2" fillId="12" borderId="13" xfId="0" applyFont="1" applyFill="1" applyBorder="1" applyAlignment="1">
      <alignment horizontal="center"/>
    </xf>
    <xf numFmtId="0" fontId="34" fillId="0" borderId="13" xfId="1" applyFont="1" applyBorder="1" applyProtection="1"/>
    <xf numFmtId="2" fontId="34" fillId="0" borderId="13" xfId="1" applyNumberFormat="1" applyFont="1" applyBorder="1" applyAlignment="1" applyProtection="1">
      <alignment horizontal="center"/>
    </xf>
    <xf numFmtId="0" fontId="34" fillId="0" borderId="13" xfId="1" applyFont="1" applyBorder="1" applyAlignment="1" applyProtection="1">
      <alignment horizontal="center"/>
    </xf>
    <xf numFmtId="0" fontId="34" fillId="13" borderId="13" xfId="1" applyFont="1" applyFill="1" applyBorder="1" applyAlignment="1" applyProtection="1">
      <alignment horizontal="left"/>
    </xf>
    <xf numFmtId="14" fontId="34" fillId="0" borderId="13" xfId="1" applyNumberFormat="1" applyBorder="1" applyProtection="1"/>
    <xf numFmtId="0" fontId="34" fillId="13" borderId="13" xfId="1" applyNumberFormat="1" applyFont="1" applyFill="1" applyBorder="1" applyAlignment="1" applyProtection="1">
      <alignment horizontal="center"/>
    </xf>
    <xf numFmtId="0" fontId="34" fillId="0" borderId="0" xfId="1"/>
    <xf numFmtId="0" fontId="57" fillId="0" borderId="51" xfId="1" applyFont="1" applyBorder="1" applyAlignment="1">
      <alignment horizontal="center" vertical="center" wrapText="1"/>
    </xf>
    <xf numFmtId="0" fontId="57" fillId="0" borderId="36" xfId="1" applyFont="1" applyBorder="1" applyAlignment="1">
      <alignment horizontal="center" vertical="center" wrapText="1"/>
    </xf>
    <xf numFmtId="0" fontId="57" fillId="0" borderId="37" xfId="1" applyFont="1" applyBorder="1" applyAlignment="1">
      <alignment horizontal="center" vertical="center" wrapText="1"/>
    </xf>
    <xf numFmtId="0" fontId="58" fillId="0" borderId="53" xfId="1" applyFont="1" applyBorder="1" applyAlignment="1">
      <alignment horizontal="center" vertical="center" wrapText="1"/>
    </xf>
    <xf numFmtId="0" fontId="58" fillId="0" borderId="54" xfId="1" applyFont="1" applyBorder="1" applyAlignment="1">
      <alignment horizontal="center" vertical="center" wrapText="1"/>
    </xf>
    <xf numFmtId="0" fontId="58" fillId="0" borderId="55" xfId="1" applyFont="1" applyBorder="1" applyAlignment="1">
      <alignment horizontal="center" vertical="center" wrapText="1"/>
    </xf>
    <xf numFmtId="0" fontId="34" fillId="0" borderId="29" xfId="1" applyBorder="1"/>
    <xf numFmtId="0" fontId="34" fillId="0" borderId="52" xfId="1" applyBorder="1"/>
    <xf numFmtId="0" fontId="54" fillId="0" borderId="13" xfId="1" applyFont="1" applyBorder="1" applyAlignment="1">
      <alignment horizontal="center" vertical="center"/>
    </xf>
    <xf numFmtId="0" fontId="34" fillId="0" borderId="13" xfId="1" applyBorder="1" applyAlignment="1">
      <alignment horizontal="center" vertical="center"/>
    </xf>
    <xf numFmtId="166" fontId="34" fillId="0" borderId="13" xfId="1" applyNumberFormat="1" applyBorder="1"/>
    <xf numFmtId="0" fontId="54" fillId="0" borderId="13" xfId="1" applyFont="1" applyBorder="1" applyAlignment="1">
      <alignment horizontal="center"/>
    </xf>
    <xf numFmtId="166" fontId="54" fillId="0" borderId="13" xfId="1" applyNumberFormat="1" applyFont="1" applyBorder="1"/>
    <xf numFmtId="0" fontId="60" fillId="0" borderId="0" xfId="1" applyFont="1"/>
    <xf numFmtId="165" fontId="4" fillId="0" borderId="13" xfId="0" applyNumberFormat="1" applyFont="1" applyBorder="1" applyAlignment="1">
      <alignment vertical="center"/>
    </xf>
    <xf numFmtId="165" fontId="38" fillId="12" borderId="13" xfId="0" applyNumberFormat="1" applyFont="1" applyFill="1" applyBorder="1" applyAlignment="1">
      <alignment vertical="center"/>
    </xf>
    <xf numFmtId="165" fontId="0" fillId="12" borderId="13" xfId="0" applyNumberFormat="1" applyFont="1" applyFill="1" applyBorder="1"/>
    <xf numFmtId="165" fontId="0" fillId="0" borderId="0" xfId="0" applyNumberFormat="1"/>
    <xf numFmtId="167" fontId="0" fillId="10" borderId="13" xfId="3" applyNumberFormat="1" applyFont="1" applyFill="1" applyBorder="1"/>
    <xf numFmtId="167" fontId="0" fillId="10" borderId="13" xfId="0" applyNumberFormat="1" applyFont="1" applyFill="1" applyBorder="1"/>
    <xf numFmtId="167" fontId="0" fillId="11" borderId="13" xfId="0" applyNumberFormat="1" applyFont="1" applyFill="1" applyBorder="1"/>
    <xf numFmtId="165" fontId="0" fillId="0" borderId="13" xfId="0" applyNumberFormat="1" applyFont="1" applyBorder="1"/>
    <xf numFmtId="165" fontId="0" fillId="3" borderId="13" xfId="0" applyNumberFormat="1" applyFont="1" applyFill="1" applyBorder="1"/>
    <xf numFmtId="165" fontId="0" fillId="0" borderId="13" xfId="0" applyNumberFormat="1" applyBorder="1"/>
    <xf numFmtId="165" fontId="0" fillId="7" borderId="13" xfId="0" applyNumberFormat="1" applyFill="1" applyBorder="1"/>
    <xf numFmtId="172" fontId="34" fillId="0" borderId="17" xfId="1" applyNumberFormat="1" applyBorder="1" applyProtection="1"/>
    <xf numFmtId="173" fontId="34" fillId="0" borderId="17" xfId="1" applyNumberFormat="1" applyBorder="1" applyProtection="1"/>
    <xf numFmtId="174" fontId="34" fillId="0" borderId="17" xfId="1" applyNumberFormat="1" applyBorder="1" applyProtection="1"/>
    <xf numFmtId="175" fontId="34" fillId="0" borderId="17" xfId="1" applyNumberFormat="1" applyBorder="1" applyProtection="1"/>
    <xf numFmtId="2" fontId="34" fillId="0" borderId="46" xfId="1" applyNumberFormat="1" applyBorder="1" applyProtection="1"/>
    <xf numFmtId="2" fontId="34" fillId="0" borderId="17" xfId="1" applyNumberFormat="1" applyBorder="1" applyProtection="1"/>
    <xf numFmtId="170" fontId="34" fillId="0" borderId="17" xfId="1" applyNumberFormat="1" applyBorder="1" applyProtection="1"/>
    <xf numFmtId="2" fontId="0" fillId="0" borderId="17" xfId="0" applyNumberFormat="1" applyBorder="1" applyProtection="1"/>
    <xf numFmtId="0" fontId="18" fillId="0" borderId="0" xfId="0" applyFont="1" applyAlignment="1">
      <alignment horizontal="center" vertical="center"/>
    </xf>
    <xf numFmtId="0" fontId="17" fillId="0" borderId="13" xfId="0" applyFont="1" applyBorder="1" applyAlignment="1">
      <alignment horizontal="center"/>
    </xf>
    <xf numFmtId="0" fontId="17" fillId="10" borderId="28" xfId="0" applyFont="1" applyFill="1" applyBorder="1" applyAlignment="1">
      <alignment horizontal="center" vertical="center"/>
    </xf>
    <xf numFmtId="0" fontId="17" fillId="10" borderId="29" xfId="0" applyFont="1" applyFill="1" applyBorder="1" applyAlignment="1">
      <alignment horizontal="center" vertical="center"/>
    </xf>
    <xf numFmtId="0" fontId="21" fillId="0" borderId="33" xfId="0" applyFont="1" applyBorder="1" applyAlignment="1">
      <alignment horizontal="left" vertical="center"/>
    </xf>
    <xf numFmtId="0" fontId="2" fillId="20" borderId="13" xfId="0" applyFont="1" applyFill="1" applyBorder="1" applyAlignment="1">
      <alignment horizontal="center" wrapText="1"/>
    </xf>
    <xf numFmtId="0" fontId="2" fillId="0" borderId="13" xfId="0" applyFont="1" applyBorder="1" applyAlignment="1">
      <alignment horizontal="right"/>
    </xf>
    <xf numFmtId="0" fontId="35" fillId="21" borderId="13" xfId="0" applyFont="1" applyFill="1" applyBorder="1" applyAlignment="1">
      <alignment horizontal="center"/>
    </xf>
    <xf numFmtId="0" fontId="2" fillId="21" borderId="34" xfId="0" applyFont="1" applyFill="1" applyBorder="1" applyAlignment="1">
      <alignment horizontal="center"/>
    </xf>
    <xf numFmtId="0" fontId="2" fillId="21" borderId="24" xfId="0" applyFont="1" applyFill="1" applyBorder="1" applyAlignment="1">
      <alignment horizontal="center"/>
    </xf>
    <xf numFmtId="0" fontId="0" fillId="12" borderId="34" xfId="0" applyFill="1" applyBorder="1" applyAlignment="1">
      <alignment horizontal="center"/>
    </xf>
    <xf numFmtId="0" fontId="0" fillId="12" borderId="24" xfId="0" applyFill="1" applyBorder="1" applyAlignment="1">
      <alignment horizontal="center"/>
    </xf>
    <xf numFmtId="167" fontId="2" fillId="10" borderId="13" xfId="0" applyNumberFormat="1" applyFont="1" applyFill="1" applyBorder="1"/>
    <xf numFmtId="0" fontId="2" fillId="11" borderId="30"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31" fillId="21" borderId="35" xfId="0" applyFont="1" applyFill="1" applyBorder="1" applyAlignment="1">
      <alignment horizontal="center" vertical="center" wrapText="1"/>
    </xf>
    <xf numFmtId="0" fontId="31" fillId="21" borderId="36" xfId="0" applyFont="1" applyFill="1" applyBorder="1" applyAlignment="1">
      <alignment horizontal="center" vertical="center" wrapText="1"/>
    </xf>
    <xf numFmtId="0" fontId="31" fillId="21" borderId="27" xfId="0" applyFont="1" applyFill="1" applyBorder="1" applyAlignment="1">
      <alignment horizontal="center" vertical="center" wrapText="1"/>
    </xf>
    <xf numFmtId="0" fontId="31" fillId="21" borderId="38" xfId="0" applyFont="1" applyFill="1" applyBorder="1" applyAlignment="1">
      <alignment horizontal="center" vertical="center" wrapText="1"/>
    </xf>
    <xf numFmtId="0" fontId="31" fillId="21" borderId="39" xfId="0" applyFont="1" applyFill="1" applyBorder="1" applyAlignment="1">
      <alignment horizontal="center" vertical="center" wrapText="1"/>
    </xf>
    <xf numFmtId="0" fontId="31" fillId="21" borderId="26" xfId="0" applyFont="1" applyFill="1" applyBorder="1" applyAlignment="1">
      <alignment horizontal="center" vertical="center" wrapText="1"/>
    </xf>
    <xf numFmtId="0" fontId="2" fillId="11" borderId="13" xfId="0" applyFont="1" applyFill="1" applyBorder="1" applyAlignment="1">
      <alignment horizontal="right"/>
    </xf>
    <xf numFmtId="0" fontId="26" fillId="21" borderId="35" xfId="0" applyFont="1" applyFill="1" applyBorder="1" applyAlignment="1">
      <alignment horizontal="center" vertical="center" wrapText="1"/>
    </xf>
    <xf numFmtId="0" fontId="26" fillId="21" borderId="37" xfId="0" applyFont="1" applyFill="1" applyBorder="1" applyAlignment="1">
      <alignment horizontal="center" vertical="center" wrapText="1"/>
    </xf>
    <xf numFmtId="0" fontId="26" fillId="21" borderId="36" xfId="0" applyFont="1" applyFill="1" applyBorder="1" applyAlignment="1">
      <alignment horizontal="center" vertical="center" wrapText="1"/>
    </xf>
    <xf numFmtId="0" fontId="26" fillId="21" borderId="27" xfId="0" applyFont="1" applyFill="1" applyBorder="1" applyAlignment="1">
      <alignment horizontal="center" vertical="center" wrapText="1"/>
    </xf>
    <xf numFmtId="0" fontId="26" fillId="21" borderId="0" xfId="0" applyFont="1" applyFill="1" applyBorder="1" applyAlignment="1">
      <alignment horizontal="center" vertical="center" wrapText="1"/>
    </xf>
    <xf numFmtId="0" fontId="26" fillId="21" borderId="38" xfId="0" applyFont="1" applyFill="1" applyBorder="1" applyAlignment="1">
      <alignment horizontal="center" vertical="center" wrapText="1"/>
    </xf>
    <xf numFmtId="0" fontId="26" fillId="21" borderId="39" xfId="0" applyFont="1" applyFill="1" applyBorder="1" applyAlignment="1">
      <alignment horizontal="center" vertical="center" wrapText="1"/>
    </xf>
    <xf numFmtId="0" fontId="26" fillId="21" borderId="40" xfId="0" applyFont="1" applyFill="1" applyBorder="1" applyAlignment="1">
      <alignment horizontal="center" vertical="center" wrapText="1"/>
    </xf>
    <xf numFmtId="0" fontId="26" fillId="21" borderId="26" xfId="0" applyFont="1" applyFill="1" applyBorder="1" applyAlignment="1">
      <alignment horizontal="center" vertical="center" wrapText="1"/>
    </xf>
    <xf numFmtId="0" fontId="2" fillId="11" borderId="30" xfId="0" applyFont="1" applyFill="1" applyBorder="1" applyAlignment="1">
      <alignment horizontal="right"/>
    </xf>
    <xf numFmtId="0" fontId="2" fillId="11" borderId="17" xfId="0" applyFont="1" applyFill="1" applyBorder="1" applyAlignment="1">
      <alignment horizontal="right"/>
    </xf>
    <xf numFmtId="0" fontId="49" fillId="2" borderId="44" xfId="1" applyFont="1" applyFill="1" applyBorder="1" applyAlignment="1" applyProtection="1">
      <alignment horizontal="center"/>
    </xf>
    <xf numFmtId="0" fontId="49" fillId="2" borderId="45" xfId="1" applyFont="1" applyFill="1" applyBorder="1" applyAlignment="1" applyProtection="1">
      <alignment horizontal="center"/>
    </xf>
    <xf numFmtId="0" fontId="49" fillId="2" borderId="44" xfId="1" applyFont="1" applyFill="1" applyBorder="1" applyAlignment="1" applyProtection="1">
      <alignment horizontal="center" wrapText="1"/>
    </xf>
    <xf numFmtId="0" fontId="49" fillId="2" borderId="47" xfId="1" applyFont="1" applyFill="1" applyBorder="1" applyAlignment="1" applyProtection="1">
      <alignment horizontal="center" wrapText="1"/>
    </xf>
    <xf numFmtId="0" fontId="53" fillId="2" borderId="48" xfId="0" applyFont="1" applyFill="1" applyBorder="1" applyAlignment="1" applyProtection="1">
      <alignment horizontal="center"/>
    </xf>
    <xf numFmtId="0" fontId="53" fillId="2" borderId="17" xfId="0" applyFont="1" applyFill="1" applyBorder="1" applyAlignment="1" applyProtection="1">
      <alignment horizontal="center"/>
    </xf>
    <xf numFmtId="0" fontId="54" fillId="0" borderId="29" xfId="1" applyFont="1" applyBorder="1" applyAlignment="1" applyProtection="1">
      <alignment horizontal="right"/>
    </xf>
    <xf numFmtId="0" fontId="41" fillId="21" borderId="0" xfId="1" applyFont="1" applyFill="1" applyAlignment="1" applyProtection="1">
      <alignment horizontal="center" vertical="center" wrapText="1"/>
    </xf>
    <xf numFmtId="0" fontId="42" fillId="2" borderId="0" xfId="1" applyFont="1" applyFill="1" applyAlignment="1" applyProtection="1">
      <alignment horizontal="center"/>
    </xf>
    <xf numFmtId="0" fontId="45" fillId="2" borderId="0" xfId="1" applyFont="1" applyFill="1" applyAlignment="1" applyProtection="1">
      <alignment horizontal="center"/>
    </xf>
    <xf numFmtId="0" fontId="47" fillId="2" borderId="0" xfId="1" applyFont="1" applyFill="1" applyAlignment="1" applyProtection="1">
      <alignment horizontal="center"/>
    </xf>
    <xf numFmtId="0" fontId="49" fillId="2" borderId="30" xfId="1" applyFont="1" applyFill="1" applyBorder="1" applyAlignment="1" applyProtection="1">
      <alignment horizontal="center"/>
    </xf>
    <xf numFmtId="0" fontId="49" fillId="2" borderId="17" xfId="1" applyFont="1" applyFill="1" applyBorder="1" applyAlignment="1" applyProtection="1">
      <alignment horizontal="center"/>
    </xf>
    <xf numFmtId="171" fontId="34" fillId="0" borderId="30" xfId="1" applyNumberFormat="1" applyBorder="1" applyAlignment="1" applyProtection="1">
      <alignment horizontal="center"/>
    </xf>
    <xf numFmtId="171" fontId="34" fillId="0" borderId="17" xfId="1" applyNumberFormat="1" applyBorder="1" applyAlignment="1" applyProtection="1">
      <alignment horizontal="center"/>
    </xf>
    <xf numFmtId="0" fontId="27" fillId="7" borderId="1" xfId="0" applyFont="1" applyFill="1" applyBorder="1" applyAlignment="1">
      <alignment horizontal="center" vertical="center"/>
    </xf>
    <xf numFmtId="0" fontId="27" fillId="7" borderId="2" xfId="0" applyFont="1" applyFill="1" applyBorder="1" applyAlignment="1">
      <alignment horizontal="center" vertical="center"/>
    </xf>
    <xf numFmtId="0" fontId="27" fillId="7" borderId="3" xfId="0" applyFont="1" applyFill="1" applyBorder="1" applyAlignment="1">
      <alignment horizontal="center" vertical="center"/>
    </xf>
    <xf numFmtId="165" fontId="5" fillId="7" borderId="10" xfId="0" applyNumberFormat="1" applyFont="1" applyFill="1" applyBorder="1" applyAlignment="1">
      <alignment horizontal="center" vertical="center"/>
    </xf>
    <xf numFmtId="165" fontId="5" fillId="7" borderId="11" xfId="0" applyNumberFormat="1" applyFont="1" applyFill="1" applyBorder="1" applyAlignment="1">
      <alignment horizontal="center" vertical="center"/>
    </xf>
    <xf numFmtId="165" fontId="5" fillId="7" borderId="12" xfId="0" applyNumberFormat="1" applyFont="1" applyFill="1" applyBorder="1" applyAlignment="1">
      <alignment horizontal="center" vertical="center"/>
    </xf>
    <xf numFmtId="0" fontId="2" fillId="3" borderId="13" xfId="0" applyFont="1" applyFill="1" applyBorder="1" applyAlignment="1">
      <alignment horizontal="right"/>
    </xf>
    <xf numFmtId="165" fontId="0" fillId="12" borderId="13" xfId="0" applyNumberFormat="1" applyFont="1" applyFill="1" applyBorder="1"/>
    <xf numFmtId="0" fontId="0" fillId="12" borderId="13" xfId="0" applyFont="1" applyFill="1" applyBorder="1"/>
    <xf numFmtId="169" fontId="0" fillId="12" borderId="13" xfId="0" applyNumberFormat="1" applyFont="1" applyFill="1" applyBorder="1"/>
    <xf numFmtId="0" fontId="36" fillId="21" borderId="27" xfId="0" applyFont="1" applyFill="1" applyBorder="1" applyAlignment="1">
      <alignment horizontal="center" vertical="center"/>
    </xf>
    <xf numFmtId="0" fontId="36" fillId="21" borderId="0" xfId="0" applyFont="1" applyFill="1" applyBorder="1" applyAlignment="1">
      <alignment horizontal="center" vertical="center"/>
    </xf>
    <xf numFmtId="0" fontId="2" fillId="22" borderId="40" xfId="0" applyFont="1" applyFill="1" applyBorder="1" applyAlignment="1">
      <alignment horizontal="center"/>
    </xf>
    <xf numFmtId="0" fontId="2" fillId="23" borderId="13" xfId="0" applyFont="1" applyFill="1" applyBorder="1" applyAlignment="1">
      <alignment horizontal="center"/>
    </xf>
    <xf numFmtId="0" fontId="2" fillId="7" borderId="13" xfId="0" applyFont="1" applyFill="1" applyBorder="1" applyAlignment="1">
      <alignment horizontal="center" vertical="center" wrapText="1"/>
    </xf>
    <xf numFmtId="0" fontId="28" fillId="8" borderId="27" xfId="0" applyFont="1" applyFill="1" applyBorder="1" applyAlignment="1">
      <alignment horizontal="center" vertical="center"/>
    </xf>
    <xf numFmtId="0" fontId="28" fillId="8" borderId="0" xfId="0" applyFont="1" applyFill="1" applyBorder="1" applyAlignment="1">
      <alignment horizontal="center" vertical="center"/>
    </xf>
    <xf numFmtId="0" fontId="5" fillId="7" borderId="28" xfId="0" applyFont="1" applyFill="1" applyBorder="1" applyAlignment="1">
      <alignment horizontal="center" vertical="center" wrapText="1"/>
    </xf>
    <xf numFmtId="0" fontId="5" fillId="7" borderId="29" xfId="0" applyFont="1" applyFill="1" applyBorder="1" applyAlignment="1">
      <alignment horizontal="center" vertical="center" wrapText="1"/>
    </xf>
    <xf numFmtId="0" fontId="12" fillId="23" borderId="13" xfId="0" applyFont="1" applyFill="1" applyBorder="1" applyAlignment="1">
      <alignment horizontal="center" vertical="center" wrapText="1"/>
    </xf>
    <xf numFmtId="0" fontId="2" fillId="23" borderId="13" xfId="0" applyFont="1" applyFill="1" applyBorder="1" applyAlignment="1">
      <alignment horizontal="right"/>
    </xf>
    <xf numFmtId="0" fontId="5" fillId="7" borderId="13" xfId="0" applyFont="1" applyFill="1" applyBorder="1" applyAlignment="1">
      <alignment horizontal="center" vertical="center"/>
    </xf>
    <xf numFmtId="0" fontId="5" fillId="7" borderId="13" xfId="0" applyFont="1" applyFill="1" applyBorder="1" applyAlignment="1">
      <alignment horizontal="center" vertical="center" wrapText="1"/>
    </xf>
    <xf numFmtId="0" fontId="2" fillId="23" borderId="30" xfId="0" applyFont="1" applyFill="1" applyBorder="1" applyAlignment="1">
      <alignment horizontal="center" vertical="center"/>
    </xf>
    <xf numFmtId="0" fontId="2" fillId="23" borderId="31" xfId="0" applyFont="1" applyFill="1" applyBorder="1" applyAlignment="1">
      <alignment horizontal="center" vertical="center"/>
    </xf>
    <xf numFmtId="0" fontId="2" fillId="23" borderId="17" xfId="0" applyFont="1" applyFill="1" applyBorder="1" applyAlignment="1">
      <alignment horizontal="center" vertical="center"/>
    </xf>
    <xf numFmtId="0" fontId="1" fillId="2" borderId="32" xfId="0" applyFont="1" applyFill="1" applyBorder="1" applyAlignment="1">
      <alignment horizontal="right" vertical="center" wrapText="1"/>
    </xf>
    <xf numFmtId="0" fontId="1" fillId="2" borderId="50" xfId="0" applyFont="1" applyFill="1" applyBorder="1" applyAlignment="1">
      <alignment horizontal="right" vertical="center" wrapText="1"/>
    </xf>
    <xf numFmtId="0" fontId="2" fillId="12" borderId="30" xfId="0" applyFont="1" applyFill="1" applyBorder="1" applyAlignment="1">
      <alignment horizontal="right"/>
    </xf>
    <xf numFmtId="0" fontId="2" fillId="12" borderId="17" xfId="0" applyFont="1" applyFill="1" applyBorder="1" applyAlignment="1">
      <alignment horizontal="right"/>
    </xf>
    <xf numFmtId="165" fontId="2" fillId="10" borderId="13" xfId="0" applyNumberFormat="1" applyFont="1" applyFill="1" applyBorder="1"/>
    <xf numFmtId="0" fontId="2" fillId="10" borderId="13" xfId="0" applyFont="1" applyFill="1" applyBorder="1"/>
    <xf numFmtId="0" fontId="13" fillId="0" borderId="13" xfId="0" applyFont="1" applyBorder="1" applyAlignment="1">
      <alignment horizontal="left" vertical="center"/>
    </xf>
    <xf numFmtId="0" fontId="40" fillId="0" borderId="0" xfId="0" applyFont="1" applyAlignment="1">
      <alignment horizontal="center"/>
    </xf>
    <xf numFmtId="165" fontId="2" fillId="10" borderId="13" xfId="0" applyNumberFormat="1" applyFont="1" applyFill="1" applyBorder="1" applyAlignment="1">
      <alignment horizontal="center"/>
    </xf>
    <xf numFmtId="0" fontId="2" fillId="10" borderId="13" xfId="0" applyFont="1" applyFill="1" applyBorder="1" applyAlignment="1">
      <alignment horizontal="center"/>
    </xf>
    <xf numFmtId="0" fontId="2" fillId="12" borderId="30" xfId="0" applyFont="1" applyFill="1" applyBorder="1"/>
    <xf numFmtId="0" fontId="2" fillId="12" borderId="17" xfId="0" applyFont="1" applyFill="1" applyBorder="1"/>
    <xf numFmtId="165" fontId="2" fillId="10" borderId="30" xfId="0" applyNumberFormat="1" applyFont="1" applyFill="1" applyBorder="1"/>
    <xf numFmtId="0" fontId="2" fillId="10" borderId="17" xfId="0" applyFont="1" applyFill="1" applyBorder="1"/>
    <xf numFmtId="0" fontId="16" fillId="2" borderId="0" xfId="0" applyFont="1" applyFill="1" applyAlignment="1">
      <alignment horizontal="center"/>
    </xf>
    <xf numFmtId="0" fontId="24" fillId="0" borderId="0" xfId="0" applyFont="1" applyAlignment="1">
      <alignment horizontal="left"/>
    </xf>
    <xf numFmtId="0" fontId="2" fillId="12" borderId="13" xfId="0" applyFont="1" applyFill="1" applyBorder="1" applyAlignment="1">
      <alignment horizontal="right"/>
    </xf>
    <xf numFmtId="0" fontId="1" fillId="2" borderId="0" xfId="0" applyFont="1" applyFill="1" applyAlignment="1">
      <alignment horizontal="center" vertical="center" wrapText="1"/>
    </xf>
    <xf numFmtId="0" fontId="2" fillId="0" borderId="13" xfId="0" applyFont="1" applyBorder="1" applyAlignment="1">
      <alignment horizontal="center"/>
    </xf>
    <xf numFmtId="0" fontId="1" fillId="2" borderId="33" xfId="0" applyFont="1" applyFill="1" applyBorder="1" applyAlignment="1">
      <alignment horizontal="center" vertical="center" wrapText="1"/>
    </xf>
    <xf numFmtId="0" fontId="29" fillId="9" borderId="0" xfId="0" applyFont="1" applyFill="1"/>
    <xf numFmtId="0" fontId="30" fillId="9" borderId="0" xfId="0" applyFont="1" applyFill="1"/>
    <xf numFmtId="0" fontId="23" fillId="0" borderId="0" xfId="0" applyFont="1" applyBorder="1" applyAlignment="1">
      <alignment vertical="center"/>
    </xf>
    <xf numFmtId="0" fontId="15" fillId="4" borderId="0" xfId="0" applyFont="1" applyFill="1" applyBorder="1" applyAlignment="1">
      <alignment horizontal="center" vertical="top" wrapText="1"/>
    </xf>
    <xf numFmtId="0" fontId="14" fillId="0" borderId="13" xfId="0" applyFont="1" applyBorder="1" applyAlignment="1">
      <alignment horizontal="center" vertical="center"/>
    </xf>
    <xf numFmtId="0" fontId="34" fillId="0" borderId="30" xfId="1" applyFont="1" applyBorder="1" applyAlignment="1">
      <alignment horizontal="left" vertical="center"/>
    </xf>
    <xf numFmtId="0" fontId="34" fillId="0" borderId="31" xfId="1" applyBorder="1" applyAlignment="1">
      <alignment horizontal="left" vertical="center"/>
    </xf>
    <xf numFmtId="0" fontId="34" fillId="0" borderId="17" xfId="1" applyBorder="1" applyAlignment="1">
      <alignment horizontal="left" vertical="center"/>
    </xf>
    <xf numFmtId="0" fontId="34" fillId="0" borderId="32" xfId="1" applyBorder="1" applyAlignment="1">
      <alignment horizontal="center"/>
    </xf>
    <xf numFmtId="0" fontId="61" fillId="0" borderId="51" xfId="0" applyFont="1" applyBorder="1" applyAlignment="1">
      <alignment vertical="top" wrapText="1"/>
    </xf>
    <xf numFmtId="0" fontId="61" fillId="0" borderId="56" xfId="0" applyFont="1" applyBorder="1" applyAlignment="1">
      <alignment vertical="top" wrapText="1"/>
    </xf>
    <xf numFmtId="0" fontId="61" fillId="0" borderId="25" xfId="0" applyFont="1" applyBorder="1" applyAlignment="1">
      <alignment vertical="top" wrapText="1"/>
    </xf>
    <xf numFmtId="0" fontId="62" fillId="0" borderId="35" xfId="0" applyFont="1" applyBorder="1" applyAlignment="1">
      <alignment horizontal="center" vertical="center" wrapText="1"/>
    </xf>
    <xf numFmtId="0" fontId="62" fillId="0" borderId="37" xfId="0" applyFont="1" applyBorder="1" applyAlignment="1">
      <alignment horizontal="center" vertical="center" wrapText="1"/>
    </xf>
    <xf numFmtId="0" fontId="62" fillId="0" borderId="36" xfId="0" applyFont="1" applyBorder="1" applyAlignment="1">
      <alignment horizontal="center" vertical="center" wrapText="1"/>
    </xf>
    <xf numFmtId="0" fontId="61" fillId="0" borderId="39" xfId="0" applyFont="1" applyBorder="1" applyAlignment="1">
      <alignment horizontal="center" vertical="center" wrapText="1"/>
    </xf>
    <xf numFmtId="0" fontId="61" fillId="0" borderId="40" xfId="0" applyFont="1" applyBorder="1" applyAlignment="1">
      <alignment horizontal="center" vertical="center" wrapText="1"/>
    </xf>
    <xf numFmtId="0" fontId="61" fillId="0" borderId="26" xfId="0" applyFont="1" applyBorder="1" applyAlignment="1">
      <alignment horizontal="center" vertical="center" wrapText="1"/>
    </xf>
    <xf numFmtId="0" fontId="62" fillId="0" borderId="39" xfId="0" applyFont="1" applyBorder="1" applyAlignment="1">
      <alignment horizontal="center" vertical="center" wrapText="1"/>
    </xf>
    <xf numFmtId="0" fontId="62" fillId="0" borderId="40" xfId="0" applyFont="1" applyBorder="1" applyAlignment="1">
      <alignment horizontal="center" vertical="center" wrapText="1"/>
    </xf>
    <xf numFmtId="0" fontId="62" fillId="0" borderId="26" xfId="0" applyFont="1" applyBorder="1" applyAlignment="1">
      <alignment horizontal="center" vertical="center" wrapText="1"/>
    </xf>
    <xf numFmtId="0" fontId="56" fillId="0" borderId="0" xfId="1" applyFont="1" applyAlignment="1">
      <alignment horizontal="center"/>
    </xf>
    <xf numFmtId="0" fontId="54" fillId="0" borderId="48" xfId="1" applyFont="1" applyBorder="1" applyAlignment="1">
      <alignment horizontal="center" vertical="center" textRotation="255"/>
    </xf>
    <xf numFmtId="0" fontId="54" fillId="0" borderId="52" xfId="1" applyFont="1" applyBorder="1" applyAlignment="1">
      <alignment horizontal="center" vertical="center" textRotation="255"/>
    </xf>
    <xf numFmtId="0" fontId="54" fillId="0" borderId="18" xfId="1" applyFont="1" applyBorder="1" applyAlignment="1">
      <alignment horizontal="center" vertical="center" textRotation="255"/>
    </xf>
    <xf numFmtId="0" fontId="54" fillId="0" borderId="19" xfId="1" applyFont="1" applyBorder="1" applyAlignment="1">
      <alignment horizontal="center" vertical="center" textRotation="255"/>
    </xf>
    <xf numFmtId="0" fontId="54" fillId="0" borderId="20" xfId="1" applyFont="1" applyBorder="1" applyAlignment="1">
      <alignment horizontal="center" vertical="center" textRotation="255"/>
    </xf>
    <xf numFmtId="0" fontId="59" fillId="0" borderId="30" xfId="1" applyFont="1" applyBorder="1" applyAlignment="1">
      <alignment horizontal="center"/>
    </xf>
    <xf numFmtId="0" fontId="59" fillId="0" borderId="31" xfId="1" applyFont="1" applyBorder="1" applyAlignment="1">
      <alignment horizontal="center"/>
    </xf>
    <xf numFmtId="0" fontId="34" fillId="0" borderId="30" xfId="1" applyFont="1" applyBorder="1" applyAlignment="1">
      <alignment horizontal="left" vertical="center" wrapText="1"/>
    </xf>
    <xf numFmtId="0" fontId="61" fillId="0" borderId="34" xfId="0" applyFont="1" applyBorder="1" applyAlignment="1">
      <alignment horizontal="center" vertical="center" wrapText="1"/>
    </xf>
    <xf numFmtId="0" fontId="61" fillId="0" borderId="24" xfId="0" applyFont="1" applyBorder="1" applyAlignment="1">
      <alignment horizontal="center" vertical="center" wrapText="1"/>
    </xf>
    <xf numFmtId="167" fontId="0" fillId="0" borderId="13" xfId="0" applyNumberFormat="1" applyBorder="1"/>
    <xf numFmtId="167" fontId="2" fillId="0" borderId="13" xfId="0" applyNumberFormat="1" applyFont="1" applyBorder="1" applyAlignment="1">
      <alignment horizontal="right"/>
    </xf>
    <xf numFmtId="178" fontId="0" fillId="0" borderId="13" xfId="0" applyNumberFormat="1" applyBorder="1"/>
    <xf numFmtId="179" fontId="0" fillId="0" borderId="13" xfId="0" applyNumberFormat="1" applyBorder="1"/>
    <xf numFmtId="180" fontId="0" fillId="0" borderId="13" xfId="0" applyNumberFormat="1" applyBorder="1"/>
    <xf numFmtId="181" fontId="0" fillId="0" borderId="30" xfId="0" applyNumberFormat="1" applyBorder="1"/>
    <xf numFmtId="1" fontId="34" fillId="0" borderId="13" xfId="1" applyNumberFormat="1" applyBorder="1" applyAlignment="1" applyProtection="1">
      <alignment horizontal="center"/>
    </xf>
    <xf numFmtId="42" fontId="34" fillId="0" borderId="13" xfId="1" applyNumberFormat="1" applyBorder="1" applyProtection="1"/>
    <xf numFmtId="1" fontId="34" fillId="0" borderId="17" xfId="1" applyNumberFormat="1" applyBorder="1" applyProtection="1"/>
    <xf numFmtId="42" fontId="43" fillId="2" borderId="49" xfId="1" applyNumberFormat="1" applyFont="1" applyFill="1" applyBorder="1" applyProtection="1"/>
    <xf numFmtId="183" fontId="2" fillId="7" borderId="13" xfId="2" applyNumberFormat="1" applyFont="1" applyFill="1" applyBorder="1"/>
    <xf numFmtId="165" fontId="13" fillId="0" borderId="13" xfId="0" applyNumberFormat="1" applyFont="1" applyBorder="1" applyAlignment="1">
      <alignment vertical="center"/>
    </xf>
    <xf numFmtId="167" fontId="13" fillId="12" borderId="13" xfId="0" applyNumberFormat="1" applyFont="1" applyFill="1" applyBorder="1" applyAlignment="1">
      <alignment vertical="center"/>
    </xf>
  </cellXfs>
  <cellStyles count="4">
    <cellStyle name="Millares" xfId="3" builtinId="3"/>
    <cellStyle name="Moneda"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238125</xdr:colOff>
      <xdr:row>5</xdr:row>
      <xdr:rowOff>28575</xdr:rowOff>
    </xdr:from>
    <xdr:to>
      <xdr:col>14</xdr:col>
      <xdr:colOff>466725</xdr:colOff>
      <xdr:row>6</xdr:row>
      <xdr:rowOff>142875</xdr:rowOff>
    </xdr:to>
    <xdr:sp macro="" textlink="">
      <xdr:nvSpPr>
        <xdr:cNvPr id="2" name="Flecha: hacia abajo 1">
          <a:extLst>
            <a:ext uri="{FF2B5EF4-FFF2-40B4-BE49-F238E27FC236}">
              <a16:creationId xmlns:a16="http://schemas.microsoft.com/office/drawing/2014/main" id="{47E66103-F2A6-4627-8C0E-F659DAF64BDF}"/>
            </a:ext>
          </a:extLst>
        </xdr:cNvPr>
        <xdr:cNvSpPr/>
      </xdr:nvSpPr>
      <xdr:spPr>
        <a:xfrm>
          <a:off x="11963400" y="1295400"/>
          <a:ext cx="228600" cy="6000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0</xdr:row>
      <xdr:rowOff>0</xdr:rowOff>
    </xdr:from>
    <xdr:to>
      <xdr:col>10</xdr:col>
      <xdr:colOff>38100</xdr:colOff>
      <xdr:row>6</xdr:row>
      <xdr:rowOff>200025</xdr:rowOff>
    </xdr:to>
    <xdr:sp macro="" textlink="">
      <xdr:nvSpPr>
        <xdr:cNvPr id="3" name="WordArt 1">
          <a:extLst>
            <a:ext uri="{FF2B5EF4-FFF2-40B4-BE49-F238E27FC236}">
              <a16:creationId xmlns:a16="http://schemas.microsoft.com/office/drawing/2014/main" id="{00000000-0008-0000-0800-000003000000}"/>
            </a:ext>
          </a:extLst>
        </xdr:cNvPr>
        <xdr:cNvSpPr>
          <a:spLocks noChangeArrowheads="1" noChangeShapeType="1" noTextEdit="1"/>
        </xdr:cNvSpPr>
      </xdr:nvSpPr>
      <xdr:spPr bwMode="auto">
        <a:xfrm>
          <a:off x="2924175" y="0"/>
          <a:ext cx="6105525" cy="1390650"/>
        </a:xfrm>
        <a:prstGeom prst="rect">
          <a:avLst/>
        </a:prstGeom>
        <a:solidFill>
          <a:srgbClr val="FFC000"/>
        </a:solidFill>
      </xdr:spPr>
      <xdr:style>
        <a:lnRef idx="0">
          <a:schemeClr val="accent6"/>
        </a:lnRef>
        <a:fillRef idx="3">
          <a:schemeClr val="accent6"/>
        </a:fillRef>
        <a:effectRef idx="3">
          <a:schemeClr val="accent6"/>
        </a:effectRef>
        <a:fontRef idx="minor">
          <a:schemeClr val="lt1"/>
        </a:fontRef>
      </xdr:style>
      <xdr:txBody>
        <a:bodyPr wrap="none" fromWordArt="1">
          <a:prstTxWarp prst="textWave1">
            <a:avLst>
              <a:gd name="adj1" fmla="val 13005"/>
              <a:gd name="adj2" fmla="val 0"/>
            </a:avLst>
          </a:prstTxWarp>
          <a:scene3d>
            <a:camera prst="legacyPerspectiveBottomRight">
              <a:rot lat="0" lon="21239999" rev="0"/>
            </a:camera>
            <a:lightRig rig="legacyHarsh3" dir="l"/>
          </a:scene3d>
          <a:sp3d extrusionH="430200" prstMaterial="legacyMatte">
            <a:extrusionClr>
              <a:srgbClr val="C0C0C0"/>
            </a:extrusionClr>
          </a:sp3d>
        </a:bodyPr>
        <a:lstStyle/>
        <a:p>
          <a:pPr algn="ctr" rtl="0">
            <a:buNone/>
          </a:pPr>
          <a:r>
            <a:rPr lang="es-CO" sz="3600" kern="10" spc="0">
              <a:ln w="9525">
                <a:round/>
                <a:headEnd/>
                <a:tailEnd/>
              </a:ln>
              <a:gradFill flip="none" rotWithShape="1">
                <a:gsLst>
                  <a:gs pos="0">
                    <a:schemeClr val="tx1"/>
                  </a:gs>
                  <a:gs pos="47000">
                    <a:schemeClr val="bg1">
                      <a:lumMod val="65000"/>
                    </a:schemeClr>
                  </a:gs>
                  <a:gs pos="100000">
                    <a:srgbClr val="55261C"/>
                  </a:gs>
                </a:gsLst>
                <a:lin ang="16200000" scaled="1"/>
                <a:tileRect/>
              </a:gradFill>
              <a:effectLst/>
              <a:latin typeface="Arial Black"/>
            </a:rPr>
            <a:t>SEGUROS SU VIDA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895349</xdr:colOff>
      <xdr:row>5</xdr:row>
      <xdr:rowOff>114300</xdr:rowOff>
    </xdr:to>
    <xdr:pic>
      <xdr:nvPicPr>
        <xdr:cNvPr id="2" name="Imagen 1" descr="Descripción: D:\GESTIÓN ACADÉMICA TÉCNICOS\Logo_POLICOLOMBIA_2017.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71450"/>
          <a:ext cx="895349"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160" zoomScaleNormal="160" workbookViewId="0">
      <selection activeCell="G8" sqref="G8"/>
    </sheetView>
  </sheetViews>
  <sheetFormatPr baseColWidth="10" defaultRowHeight="15"/>
  <cols>
    <col min="1" max="1" width="3.7109375" customWidth="1"/>
  </cols>
  <sheetData>
    <row r="1" spans="1:4">
      <c r="A1" s="11" t="s">
        <v>488</v>
      </c>
      <c r="D1" s="11" t="s">
        <v>496</v>
      </c>
    </row>
    <row r="2" spans="1:4">
      <c r="A2" s="11"/>
    </row>
    <row r="3" spans="1:4">
      <c r="A3" s="11">
        <v>1</v>
      </c>
      <c r="B3" t="s">
        <v>492</v>
      </c>
    </row>
    <row r="4" spans="1:4">
      <c r="A4" s="11">
        <v>2</v>
      </c>
      <c r="B4" t="s">
        <v>489</v>
      </c>
    </row>
    <row r="5" spans="1:4">
      <c r="A5" s="11"/>
      <c r="B5" t="s">
        <v>490</v>
      </c>
    </row>
    <row r="6" spans="1:4">
      <c r="A6" s="11"/>
      <c r="B6" t="s">
        <v>491</v>
      </c>
    </row>
    <row r="7" spans="1:4">
      <c r="A7" s="11">
        <v>3</v>
      </c>
      <c r="B7" t="s">
        <v>493</v>
      </c>
    </row>
    <row r="8" spans="1:4">
      <c r="A8" s="11">
        <v>4</v>
      </c>
      <c r="B8" t="s">
        <v>494</v>
      </c>
    </row>
    <row r="9" spans="1:4">
      <c r="A9" s="11"/>
      <c r="B9" t="s">
        <v>495</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6"/>
  <sheetViews>
    <sheetView tabSelected="1" topLeftCell="A28" workbookViewId="0">
      <selection activeCell="L32" sqref="L32"/>
    </sheetView>
  </sheetViews>
  <sheetFormatPr baseColWidth="10" defaultRowHeight="15"/>
  <cols>
    <col min="1" max="1" width="32" style="40" bestFit="1" customWidth="1"/>
    <col min="2" max="5" width="11.42578125" style="40"/>
    <col min="6" max="6" width="14.28515625" style="40" bestFit="1" customWidth="1"/>
    <col min="7" max="8" width="13.28515625" style="40" bestFit="1" customWidth="1"/>
    <col min="9" max="9" width="14.28515625" style="40" bestFit="1" customWidth="1"/>
    <col min="10" max="10" width="11.7109375" style="40" bestFit="1" customWidth="1"/>
    <col min="11" max="11" width="7" style="40" customWidth="1"/>
    <col min="12" max="16384" width="11.42578125" style="40"/>
  </cols>
  <sheetData>
    <row r="1" spans="1:20" ht="15" customHeight="1">
      <c r="A1" s="85" t="s">
        <v>351</v>
      </c>
      <c r="B1" s="82">
        <v>15000</v>
      </c>
      <c r="C1" s="275"/>
      <c r="D1" s="275"/>
      <c r="E1" s="275"/>
      <c r="F1" s="275"/>
      <c r="G1" s="275"/>
      <c r="H1" s="275"/>
      <c r="I1" s="275"/>
      <c r="J1" s="275"/>
      <c r="K1" s="42"/>
    </row>
    <row r="2" spans="1:20" ht="15.75" customHeight="1">
      <c r="A2" s="85" t="s">
        <v>352</v>
      </c>
      <c r="B2" s="82">
        <v>20000</v>
      </c>
      <c r="C2" s="275"/>
      <c r="D2" s="275"/>
      <c r="E2" s="275"/>
      <c r="F2" s="275"/>
      <c r="G2" s="275"/>
      <c r="H2" s="275"/>
      <c r="I2" s="275"/>
      <c r="J2" s="275"/>
      <c r="K2" s="42"/>
      <c r="L2" s="274" t="s">
        <v>317</v>
      </c>
      <c r="M2" s="274"/>
      <c r="N2" s="274"/>
      <c r="O2" s="274"/>
      <c r="P2" s="274"/>
      <c r="Q2" s="274"/>
      <c r="R2" s="274"/>
      <c r="S2" s="274"/>
      <c r="T2" s="274"/>
    </row>
    <row r="3" spans="1:20" ht="15.75" customHeight="1">
      <c r="A3" s="85" t="s">
        <v>353</v>
      </c>
      <c r="B3" s="82">
        <v>13500</v>
      </c>
      <c r="C3" s="275"/>
      <c r="D3" s="275"/>
      <c r="E3" s="275"/>
      <c r="F3" s="275"/>
      <c r="G3" s="275"/>
      <c r="H3" s="275"/>
      <c r="I3" s="275"/>
      <c r="J3" s="275"/>
      <c r="K3" s="42"/>
      <c r="L3" s="274"/>
      <c r="M3" s="274"/>
      <c r="N3" s="274"/>
      <c r="O3" s="274"/>
      <c r="P3" s="274"/>
      <c r="Q3" s="274"/>
      <c r="R3" s="274"/>
      <c r="S3" s="274"/>
      <c r="T3" s="274"/>
    </row>
    <row r="4" spans="1:20" ht="15.75" customHeight="1">
      <c r="A4" s="85" t="s">
        <v>354</v>
      </c>
      <c r="B4" s="83">
        <v>7.0000000000000007E-2</v>
      </c>
      <c r="C4" s="275"/>
      <c r="D4" s="275"/>
      <c r="E4" s="275"/>
      <c r="F4" s="275"/>
      <c r="G4" s="275"/>
      <c r="H4" s="275"/>
      <c r="I4" s="275"/>
      <c r="J4" s="275"/>
      <c r="K4" s="42"/>
      <c r="L4" s="274"/>
      <c r="M4" s="274"/>
      <c r="N4" s="274"/>
      <c r="O4" s="274"/>
      <c r="P4" s="274"/>
      <c r="Q4" s="274"/>
      <c r="R4" s="274"/>
      <c r="S4" s="274"/>
      <c r="T4" s="274"/>
    </row>
    <row r="5" spans="1:20" ht="15.75" customHeight="1">
      <c r="A5" s="85" t="s">
        <v>355</v>
      </c>
      <c r="B5" s="83">
        <v>0.19</v>
      </c>
      <c r="C5" s="275"/>
      <c r="D5" s="275"/>
      <c r="E5" s="275"/>
      <c r="F5" s="275"/>
      <c r="G5" s="275"/>
      <c r="H5" s="275"/>
      <c r="I5" s="275"/>
      <c r="J5" s="275"/>
      <c r="K5" s="42"/>
      <c r="L5" s="274"/>
      <c r="M5" s="274"/>
      <c r="N5" s="274"/>
      <c r="O5" s="274"/>
      <c r="P5" s="274"/>
      <c r="Q5" s="274"/>
      <c r="R5" s="274"/>
      <c r="S5" s="274"/>
      <c r="T5" s="274"/>
    </row>
    <row r="6" spans="1:20" ht="15.75" customHeight="1">
      <c r="A6" s="85" t="s">
        <v>356</v>
      </c>
      <c r="B6" s="83">
        <v>0.05</v>
      </c>
      <c r="C6" s="275"/>
      <c r="D6" s="275"/>
      <c r="E6" s="275"/>
      <c r="F6" s="275"/>
      <c r="G6" s="275"/>
      <c r="H6" s="275"/>
      <c r="I6" s="275"/>
      <c r="J6" s="275"/>
      <c r="K6" s="42"/>
      <c r="L6" s="274"/>
      <c r="M6" s="274"/>
      <c r="N6" s="274"/>
      <c r="O6" s="274"/>
      <c r="P6" s="274"/>
      <c r="Q6" s="274"/>
      <c r="R6" s="274"/>
      <c r="S6" s="274"/>
      <c r="T6" s="274"/>
    </row>
    <row r="7" spans="1:20" ht="16.5" customHeight="1">
      <c r="A7" s="273" t="s">
        <v>496</v>
      </c>
      <c r="B7" s="273"/>
      <c r="C7" s="273"/>
      <c r="D7" s="273"/>
      <c r="E7" s="273"/>
      <c r="F7" s="273"/>
      <c r="G7" s="273"/>
      <c r="H7" s="273"/>
      <c r="I7" s="273"/>
      <c r="L7" s="274"/>
      <c r="M7" s="274"/>
      <c r="N7" s="274"/>
      <c r="O7" s="274"/>
      <c r="P7" s="274"/>
      <c r="Q7" s="274"/>
      <c r="R7" s="274"/>
      <c r="S7" s="274"/>
      <c r="T7" s="274"/>
    </row>
    <row r="8" spans="1:20" ht="51">
      <c r="A8" s="84" t="s">
        <v>286</v>
      </c>
      <c r="B8" s="84" t="s">
        <v>261</v>
      </c>
      <c r="C8" s="84" t="s">
        <v>262</v>
      </c>
      <c r="D8" s="84" t="s">
        <v>263</v>
      </c>
      <c r="E8" s="84" t="s">
        <v>81</v>
      </c>
      <c r="F8" s="84" t="s">
        <v>264</v>
      </c>
      <c r="G8" s="84" t="s">
        <v>82</v>
      </c>
      <c r="H8" s="84" t="s">
        <v>83</v>
      </c>
      <c r="I8" s="84" t="s">
        <v>313</v>
      </c>
      <c r="J8" s="84" t="s">
        <v>265</v>
      </c>
      <c r="K8" s="43"/>
      <c r="L8" s="274"/>
      <c r="M8" s="274"/>
      <c r="N8" s="274"/>
      <c r="O8" s="274"/>
      <c r="P8" s="274"/>
      <c r="Q8" s="274"/>
      <c r="R8" s="274"/>
      <c r="S8" s="274"/>
      <c r="T8" s="274"/>
    </row>
    <row r="9" spans="1:20" ht="16.5" customHeight="1">
      <c r="A9" s="46" t="s">
        <v>84</v>
      </c>
      <c r="B9" s="41">
        <v>1</v>
      </c>
      <c r="C9" s="41">
        <v>22</v>
      </c>
      <c r="D9" s="41">
        <v>10</v>
      </c>
      <c r="E9" s="32">
        <f>SUM(B9:D9)</f>
        <v>33</v>
      </c>
      <c r="F9" s="314">
        <f>B9*$B$1+C9*$B$2+D9*$B$3</f>
        <v>590000</v>
      </c>
      <c r="G9" s="314">
        <f>F9*$B$4</f>
        <v>41300.000000000007</v>
      </c>
      <c r="H9" s="314">
        <f>F9*$B$5</f>
        <v>112100</v>
      </c>
      <c r="I9" s="314">
        <f>F9-G9+H9</f>
        <v>660800</v>
      </c>
      <c r="J9" s="167">
        <f>F9*$B$6</f>
        <v>29500</v>
      </c>
      <c r="L9" s="274"/>
      <c r="M9" s="274"/>
      <c r="N9" s="274"/>
      <c r="O9" s="274"/>
      <c r="P9" s="274"/>
      <c r="Q9" s="274"/>
      <c r="R9" s="274"/>
      <c r="S9" s="274"/>
      <c r="T9" s="274"/>
    </row>
    <row r="10" spans="1:20" ht="15.75" customHeight="1">
      <c r="A10" s="46" t="s">
        <v>85</v>
      </c>
      <c r="B10" s="41">
        <v>11</v>
      </c>
      <c r="C10" s="41">
        <v>11</v>
      </c>
      <c r="D10" s="41">
        <v>17</v>
      </c>
      <c r="E10" s="32">
        <f t="shared" ref="E10:E38" si="0">SUM(B10:D10)</f>
        <v>39</v>
      </c>
      <c r="F10" s="314">
        <f t="shared" ref="F10:F38" si="1">B10*$B$1+C10*$B$2+D10*$B$3</f>
        <v>614500</v>
      </c>
      <c r="G10" s="314">
        <f t="shared" ref="G10:G38" si="2">F10*$B$4</f>
        <v>43015.000000000007</v>
      </c>
      <c r="H10" s="314">
        <f t="shared" ref="H10:H38" si="3">F10*$B$5</f>
        <v>116755</v>
      </c>
      <c r="I10" s="314">
        <f t="shared" ref="I10:I38" si="4">F10-G10+H10</f>
        <v>688240</v>
      </c>
      <c r="J10" s="167">
        <f t="shared" ref="J10:J38" si="5">F10*$B$6</f>
        <v>30725</v>
      </c>
      <c r="L10" s="274"/>
      <c r="M10" s="274"/>
      <c r="N10" s="274"/>
      <c r="O10" s="274"/>
      <c r="P10" s="274"/>
      <c r="Q10" s="274"/>
      <c r="R10" s="274"/>
      <c r="S10" s="274"/>
      <c r="T10" s="274"/>
    </row>
    <row r="11" spans="1:20" ht="15.75" customHeight="1">
      <c r="A11" s="46" t="s">
        <v>86</v>
      </c>
      <c r="B11" s="41">
        <v>22</v>
      </c>
      <c r="C11" s="41">
        <v>16</v>
      </c>
      <c r="D11" s="41">
        <v>10</v>
      </c>
      <c r="E11" s="32">
        <f t="shared" si="0"/>
        <v>48</v>
      </c>
      <c r="F11" s="314">
        <f t="shared" si="1"/>
        <v>785000</v>
      </c>
      <c r="G11" s="314">
        <f t="shared" si="2"/>
        <v>54950.000000000007</v>
      </c>
      <c r="H11" s="314">
        <f t="shared" si="3"/>
        <v>149150</v>
      </c>
      <c r="I11" s="314">
        <f t="shared" si="4"/>
        <v>879200</v>
      </c>
      <c r="J11" s="167">
        <f t="shared" si="5"/>
        <v>39250</v>
      </c>
      <c r="L11" s="274"/>
      <c r="M11" s="274"/>
      <c r="N11" s="274"/>
      <c r="O11" s="274"/>
      <c r="P11" s="274"/>
      <c r="Q11" s="274"/>
      <c r="R11" s="274"/>
      <c r="S11" s="274"/>
      <c r="T11" s="274"/>
    </row>
    <row r="12" spans="1:20" ht="15.75" customHeight="1">
      <c r="A12" s="46" t="s">
        <v>87</v>
      </c>
      <c r="B12" s="41">
        <v>21</v>
      </c>
      <c r="C12" s="41">
        <v>12</v>
      </c>
      <c r="D12" s="41">
        <v>18</v>
      </c>
      <c r="E12" s="32">
        <f t="shared" si="0"/>
        <v>51</v>
      </c>
      <c r="F12" s="314">
        <f t="shared" si="1"/>
        <v>798000</v>
      </c>
      <c r="G12" s="314">
        <f t="shared" si="2"/>
        <v>55860.000000000007</v>
      </c>
      <c r="H12" s="314">
        <f t="shared" si="3"/>
        <v>151620</v>
      </c>
      <c r="I12" s="314">
        <f t="shared" si="4"/>
        <v>893760</v>
      </c>
      <c r="J12" s="167">
        <f t="shared" si="5"/>
        <v>39900</v>
      </c>
      <c r="L12" s="274"/>
      <c r="M12" s="274"/>
      <c r="N12" s="274"/>
      <c r="O12" s="274"/>
      <c r="P12" s="274"/>
      <c r="Q12" s="274"/>
      <c r="R12" s="274"/>
      <c r="S12" s="274"/>
      <c r="T12" s="274"/>
    </row>
    <row r="13" spans="1:20" ht="15.75" customHeight="1">
      <c r="A13" s="46" t="s">
        <v>88</v>
      </c>
      <c r="B13" s="41">
        <v>4</v>
      </c>
      <c r="C13" s="41">
        <v>19</v>
      </c>
      <c r="D13" s="41">
        <v>17</v>
      </c>
      <c r="E13" s="32">
        <f t="shared" si="0"/>
        <v>40</v>
      </c>
      <c r="F13" s="314">
        <f t="shared" si="1"/>
        <v>669500</v>
      </c>
      <c r="G13" s="314">
        <f t="shared" si="2"/>
        <v>46865.000000000007</v>
      </c>
      <c r="H13" s="314">
        <f t="shared" si="3"/>
        <v>127205</v>
      </c>
      <c r="I13" s="314">
        <f t="shared" si="4"/>
        <v>749840</v>
      </c>
      <c r="J13" s="167">
        <f t="shared" si="5"/>
        <v>33475</v>
      </c>
      <c r="L13" s="274"/>
      <c r="M13" s="274"/>
      <c r="N13" s="274"/>
      <c r="O13" s="274"/>
      <c r="P13" s="274"/>
      <c r="Q13" s="274"/>
      <c r="R13" s="274"/>
      <c r="S13" s="274"/>
      <c r="T13" s="274"/>
    </row>
    <row r="14" spans="1:20" ht="15.75" customHeight="1">
      <c r="A14" s="46" t="s">
        <v>89</v>
      </c>
      <c r="B14" s="41">
        <v>19</v>
      </c>
      <c r="C14" s="41">
        <v>19</v>
      </c>
      <c r="D14" s="41">
        <v>14</v>
      </c>
      <c r="E14" s="32">
        <f t="shared" si="0"/>
        <v>52</v>
      </c>
      <c r="F14" s="314">
        <f t="shared" si="1"/>
        <v>854000</v>
      </c>
      <c r="G14" s="314">
        <f t="shared" si="2"/>
        <v>59780.000000000007</v>
      </c>
      <c r="H14" s="314">
        <f t="shared" si="3"/>
        <v>162260</v>
      </c>
      <c r="I14" s="314">
        <f t="shared" si="4"/>
        <v>956480</v>
      </c>
      <c r="J14" s="167">
        <f t="shared" si="5"/>
        <v>42700</v>
      </c>
      <c r="L14" s="274"/>
      <c r="M14" s="274"/>
      <c r="N14" s="274"/>
      <c r="O14" s="274"/>
      <c r="P14" s="274"/>
      <c r="Q14" s="274"/>
      <c r="R14" s="274"/>
      <c r="S14" s="274"/>
      <c r="T14" s="274"/>
    </row>
    <row r="15" spans="1:20" ht="15.75" customHeight="1">
      <c r="A15" s="46" t="s">
        <v>90</v>
      </c>
      <c r="B15" s="41">
        <v>18</v>
      </c>
      <c r="C15" s="41">
        <v>21</v>
      </c>
      <c r="D15" s="41">
        <v>0</v>
      </c>
      <c r="E15" s="32">
        <f t="shared" si="0"/>
        <v>39</v>
      </c>
      <c r="F15" s="314">
        <f t="shared" si="1"/>
        <v>690000</v>
      </c>
      <c r="G15" s="314">
        <f t="shared" si="2"/>
        <v>48300.000000000007</v>
      </c>
      <c r="H15" s="314">
        <f t="shared" si="3"/>
        <v>131100</v>
      </c>
      <c r="I15" s="314">
        <f t="shared" si="4"/>
        <v>772800</v>
      </c>
      <c r="J15" s="167">
        <f t="shared" si="5"/>
        <v>34500</v>
      </c>
      <c r="L15" s="274"/>
      <c r="M15" s="274"/>
      <c r="N15" s="274"/>
      <c r="O15" s="274"/>
      <c r="P15" s="274"/>
      <c r="Q15" s="274"/>
      <c r="R15" s="274"/>
      <c r="S15" s="274"/>
      <c r="T15" s="274"/>
    </row>
    <row r="16" spans="1:20" ht="15.75" customHeight="1">
      <c r="A16" s="46" t="s">
        <v>91</v>
      </c>
      <c r="B16" s="41">
        <v>14</v>
      </c>
      <c r="C16" s="41">
        <v>11</v>
      </c>
      <c r="D16" s="41">
        <v>9</v>
      </c>
      <c r="E16" s="32">
        <f t="shared" si="0"/>
        <v>34</v>
      </c>
      <c r="F16" s="314">
        <f t="shared" si="1"/>
        <v>551500</v>
      </c>
      <c r="G16" s="314">
        <f t="shared" si="2"/>
        <v>38605.000000000007</v>
      </c>
      <c r="H16" s="314">
        <f t="shared" si="3"/>
        <v>104785</v>
      </c>
      <c r="I16" s="314">
        <f t="shared" si="4"/>
        <v>617680</v>
      </c>
      <c r="J16" s="167">
        <f t="shared" si="5"/>
        <v>27575</v>
      </c>
      <c r="L16" s="274"/>
      <c r="M16" s="274"/>
      <c r="N16" s="274"/>
      <c r="O16" s="274"/>
      <c r="P16" s="274"/>
      <c r="Q16" s="274"/>
      <c r="R16" s="274"/>
      <c r="S16" s="274"/>
      <c r="T16" s="274"/>
    </row>
    <row r="17" spans="1:20" ht="15.75" customHeight="1">
      <c r="A17" s="46" t="s">
        <v>92</v>
      </c>
      <c r="B17" s="41">
        <v>19</v>
      </c>
      <c r="C17" s="41">
        <v>12</v>
      </c>
      <c r="D17" s="41">
        <v>17</v>
      </c>
      <c r="E17" s="32">
        <f t="shared" si="0"/>
        <v>48</v>
      </c>
      <c r="F17" s="314">
        <f t="shared" si="1"/>
        <v>754500</v>
      </c>
      <c r="G17" s="314">
        <f t="shared" si="2"/>
        <v>52815.000000000007</v>
      </c>
      <c r="H17" s="314">
        <f t="shared" si="3"/>
        <v>143355</v>
      </c>
      <c r="I17" s="314">
        <f t="shared" si="4"/>
        <v>845040</v>
      </c>
      <c r="J17" s="167">
        <f t="shared" si="5"/>
        <v>37725</v>
      </c>
      <c r="L17" s="25"/>
      <c r="M17" s="25"/>
      <c r="N17" s="25"/>
      <c r="O17" s="25"/>
      <c r="P17" s="25"/>
      <c r="Q17" s="25"/>
      <c r="R17" s="25"/>
      <c r="S17" s="25"/>
      <c r="T17" s="25"/>
    </row>
    <row r="18" spans="1:20" ht="15.75" customHeight="1">
      <c r="A18" s="46" t="s">
        <v>93</v>
      </c>
      <c r="B18" s="41">
        <v>22</v>
      </c>
      <c r="C18" s="41">
        <v>10</v>
      </c>
      <c r="D18" s="41">
        <v>0</v>
      </c>
      <c r="E18" s="32">
        <f t="shared" si="0"/>
        <v>32</v>
      </c>
      <c r="F18" s="314">
        <f t="shared" si="1"/>
        <v>530000</v>
      </c>
      <c r="G18" s="314">
        <f t="shared" si="2"/>
        <v>37100</v>
      </c>
      <c r="H18" s="314">
        <f t="shared" si="3"/>
        <v>100700</v>
      </c>
      <c r="I18" s="314">
        <f t="shared" si="4"/>
        <v>593600</v>
      </c>
      <c r="J18" s="167">
        <f t="shared" si="5"/>
        <v>26500</v>
      </c>
      <c r="L18" s="25"/>
      <c r="M18" s="25"/>
      <c r="N18" s="25"/>
      <c r="O18" s="25"/>
      <c r="P18" s="25"/>
      <c r="Q18" s="25"/>
      <c r="R18" s="25"/>
      <c r="S18" s="25"/>
      <c r="T18" s="25"/>
    </row>
    <row r="19" spans="1:20" ht="15.75" customHeight="1">
      <c r="A19" s="46" t="s">
        <v>94</v>
      </c>
      <c r="B19" s="41">
        <v>8</v>
      </c>
      <c r="C19" s="41">
        <v>16</v>
      </c>
      <c r="D19" s="41">
        <v>22</v>
      </c>
      <c r="E19" s="32">
        <f t="shared" si="0"/>
        <v>46</v>
      </c>
      <c r="F19" s="314">
        <f t="shared" si="1"/>
        <v>737000</v>
      </c>
      <c r="G19" s="314">
        <f t="shared" si="2"/>
        <v>51590.000000000007</v>
      </c>
      <c r="H19" s="314">
        <f t="shared" si="3"/>
        <v>140030</v>
      </c>
      <c r="I19" s="314">
        <f t="shared" si="4"/>
        <v>825440</v>
      </c>
      <c r="J19" s="167">
        <f t="shared" si="5"/>
        <v>36850</v>
      </c>
      <c r="L19" s="25"/>
      <c r="M19" s="25"/>
      <c r="N19" s="25"/>
      <c r="O19" s="25"/>
      <c r="P19" s="25"/>
      <c r="Q19" s="25"/>
      <c r="R19" s="25"/>
      <c r="S19" s="25"/>
      <c r="T19" s="25"/>
    </row>
    <row r="20" spans="1:20" ht="15.75" customHeight="1">
      <c r="A20" s="46" t="s">
        <v>95</v>
      </c>
      <c r="B20" s="41">
        <v>2</v>
      </c>
      <c r="C20" s="41">
        <v>14</v>
      </c>
      <c r="D20" s="41">
        <v>2</v>
      </c>
      <c r="E20" s="32">
        <f t="shared" si="0"/>
        <v>18</v>
      </c>
      <c r="F20" s="314">
        <f t="shared" si="1"/>
        <v>337000</v>
      </c>
      <c r="G20" s="314">
        <f t="shared" si="2"/>
        <v>23590.000000000004</v>
      </c>
      <c r="H20" s="314">
        <f t="shared" si="3"/>
        <v>64030</v>
      </c>
      <c r="I20" s="314">
        <f t="shared" si="4"/>
        <v>377440</v>
      </c>
      <c r="J20" s="167">
        <f t="shared" si="5"/>
        <v>16850</v>
      </c>
      <c r="L20" s="25"/>
      <c r="M20" s="25"/>
      <c r="N20" s="25"/>
      <c r="O20" s="25"/>
      <c r="P20" s="25"/>
      <c r="Q20" s="25"/>
      <c r="R20" s="25"/>
      <c r="S20" s="25"/>
      <c r="T20" s="25"/>
    </row>
    <row r="21" spans="1:20" ht="15.75" customHeight="1">
      <c r="A21" s="46" t="s">
        <v>96</v>
      </c>
      <c r="B21" s="41">
        <v>2</v>
      </c>
      <c r="C21" s="41">
        <v>4</v>
      </c>
      <c r="D21" s="41">
        <v>6</v>
      </c>
      <c r="E21" s="32">
        <f t="shared" si="0"/>
        <v>12</v>
      </c>
      <c r="F21" s="314">
        <f t="shared" si="1"/>
        <v>191000</v>
      </c>
      <c r="G21" s="314">
        <f t="shared" si="2"/>
        <v>13370.000000000002</v>
      </c>
      <c r="H21" s="314">
        <f t="shared" si="3"/>
        <v>36290</v>
      </c>
      <c r="I21" s="314">
        <f t="shared" si="4"/>
        <v>213920</v>
      </c>
      <c r="J21" s="167">
        <f t="shared" si="5"/>
        <v>9550</v>
      </c>
      <c r="L21" s="25"/>
      <c r="M21" s="25"/>
      <c r="N21" s="25"/>
      <c r="O21" s="25"/>
      <c r="P21" s="25"/>
      <c r="Q21" s="25"/>
      <c r="R21" s="25"/>
      <c r="S21" s="25"/>
      <c r="T21" s="25"/>
    </row>
    <row r="22" spans="1:20" ht="15.75" customHeight="1">
      <c r="A22" s="46" t="s">
        <v>97</v>
      </c>
      <c r="B22" s="41">
        <v>14</v>
      </c>
      <c r="C22" s="41">
        <v>13</v>
      </c>
      <c r="D22" s="41">
        <v>9</v>
      </c>
      <c r="E22" s="32">
        <f t="shared" si="0"/>
        <v>36</v>
      </c>
      <c r="F22" s="314">
        <f t="shared" si="1"/>
        <v>591500</v>
      </c>
      <c r="G22" s="314">
        <f t="shared" si="2"/>
        <v>41405.000000000007</v>
      </c>
      <c r="H22" s="314">
        <f t="shared" si="3"/>
        <v>112385</v>
      </c>
      <c r="I22" s="314">
        <f t="shared" si="4"/>
        <v>662480</v>
      </c>
      <c r="J22" s="167">
        <f t="shared" si="5"/>
        <v>29575</v>
      </c>
      <c r="L22" s="25"/>
      <c r="M22" s="25"/>
      <c r="N22" s="25"/>
      <c r="O22" s="25"/>
      <c r="P22" s="25"/>
      <c r="Q22" s="25"/>
      <c r="R22" s="25"/>
      <c r="S22" s="25"/>
      <c r="T22" s="25"/>
    </row>
    <row r="23" spans="1:20" ht="15.75" customHeight="1">
      <c r="A23" s="46" t="s">
        <v>98</v>
      </c>
      <c r="B23" s="41">
        <v>15</v>
      </c>
      <c r="C23" s="41">
        <v>19</v>
      </c>
      <c r="D23" s="41">
        <v>13</v>
      </c>
      <c r="E23" s="32">
        <f t="shared" si="0"/>
        <v>47</v>
      </c>
      <c r="F23" s="314">
        <f t="shared" si="1"/>
        <v>780500</v>
      </c>
      <c r="G23" s="314">
        <f t="shared" si="2"/>
        <v>54635.000000000007</v>
      </c>
      <c r="H23" s="314">
        <f t="shared" si="3"/>
        <v>148295</v>
      </c>
      <c r="I23" s="314">
        <f t="shared" si="4"/>
        <v>874160</v>
      </c>
      <c r="J23" s="167">
        <f t="shared" si="5"/>
        <v>39025</v>
      </c>
      <c r="L23" s="25"/>
      <c r="M23" s="25"/>
      <c r="N23" s="25"/>
      <c r="O23" s="25"/>
      <c r="P23" s="25"/>
      <c r="Q23" s="25"/>
      <c r="R23" s="25"/>
      <c r="S23" s="25"/>
      <c r="T23" s="25"/>
    </row>
    <row r="24" spans="1:20" ht="15.75" customHeight="1">
      <c r="A24" s="46" t="s">
        <v>99</v>
      </c>
      <c r="B24" s="41">
        <v>3</v>
      </c>
      <c r="C24" s="41">
        <v>22</v>
      </c>
      <c r="D24" s="41">
        <v>13</v>
      </c>
      <c r="E24" s="32">
        <f t="shared" si="0"/>
        <v>38</v>
      </c>
      <c r="F24" s="314">
        <f t="shared" si="1"/>
        <v>660500</v>
      </c>
      <c r="G24" s="314">
        <f t="shared" si="2"/>
        <v>46235.000000000007</v>
      </c>
      <c r="H24" s="314">
        <f t="shared" si="3"/>
        <v>125495</v>
      </c>
      <c r="I24" s="314">
        <f t="shared" si="4"/>
        <v>739760</v>
      </c>
      <c r="J24" s="167">
        <f t="shared" si="5"/>
        <v>33025</v>
      </c>
      <c r="L24" s="25"/>
      <c r="M24" s="25"/>
      <c r="N24" s="25"/>
      <c r="O24" s="25"/>
      <c r="P24" s="25"/>
      <c r="Q24" s="25"/>
      <c r="R24" s="25"/>
      <c r="S24" s="25"/>
      <c r="T24" s="25"/>
    </row>
    <row r="25" spans="1:20" ht="15.75" customHeight="1">
      <c r="A25" s="46" t="s">
        <v>100</v>
      </c>
      <c r="B25" s="41">
        <v>10</v>
      </c>
      <c r="C25" s="41">
        <v>10</v>
      </c>
      <c r="D25" s="41">
        <v>7</v>
      </c>
      <c r="E25" s="32">
        <f t="shared" si="0"/>
        <v>27</v>
      </c>
      <c r="F25" s="314">
        <f t="shared" si="1"/>
        <v>444500</v>
      </c>
      <c r="G25" s="314">
        <f t="shared" si="2"/>
        <v>31115.000000000004</v>
      </c>
      <c r="H25" s="314">
        <f t="shared" si="3"/>
        <v>84455</v>
      </c>
      <c r="I25" s="314">
        <f t="shared" si="4"/>
        <v>497840</v>
      </c>
      <c r="J25" s="167">
        <f t="shared" si="5"/>
        <v>22225</v>
      </c>
      <c r="L25" s="25"/>
      <c r="M25" s="25"/>
      <c r="N25" s="25"/>
      <c r="O25" s="25"/>
      <c r="P25" s="25"/>
      <c r="Q25" s="25"/>
      <c r="R25" s="25"/>
      <c r="S25" s="25"/>
      <c r="T25" s="25"/>
    </row>
    <row r="26" spans="1:20" ht="15.75" customHeight="1">
      <c r="A26" s="46" t="s">
        <v>101</v>
      </c>
      <c r="B26" s="41">
        <v>20</v>
      </c>
      <c r="C26" s="41">
        <v>21</v>
      </c>
      <c r="D26" s="41">
        <v>9</v>
      </c>
      <c r="E26" s="32">
        <f t="shared" si="0"/>
        <v>50</v>
      </c>
      <c r="F26" s="314">
        <f t="shared" si="1"/>
        <v>841500</v>
      </c>
      <c r="G26" s="314">
        <f t="shared" si="2"/>
        <v>58905.000000000007</v>
      </c>
      <c r="H26" s="314">
        <f t="shared" si="3"/>
        <v>159885</v>
      </c>
      <c r="I26" s="314">
        <f t="shared" si="4"/>
        <v>942480</v>
      </c>
      <c r="J26" s="167">
        <f t="shared" si="5"/>
        <v>42075</v>
      </c>
      <c r="L26" s="25"/>
      <c r="M26" s="25"/>
      <c r="N26" s="25"/>
      <c r="O26" s="25"/>
      <c r="P26" s="25"/>
      <c r="Q26" s="25"/>
      <c r="R26" s="25"/>
      <c r="S26" s="25"/>
      <c r="T26" s="25"/>
    </row>
    <row r="27" spans="1:20" ht="15.75" customHeight="1">
      <c r="A27" s="46" t="s">
        <v>102</v>
      </c>
      <c r="B27" s="41">
        <v>9</v>
      </c>
      <c r="C27" s="41">
        <v>1</v>
      </c>
      <c r="D27" s="41">
        <v>1</v>
      </c>
      <c r="E27" s="32">
        <f t="shared" si="0"/>
        <v>11</v>
      </c>
      <c r="F27" s="314">
        <f t="shared" si="1"/>
        <v>168500</v>
      </c>
      <c r="G27" s="314">
        <f t="shared" si="2"/>
        <v>11795.000000000002</v>
      </c>
      <c r="H27" s="314">
        <f t="shared" si="3"/>
        <v>32015</v>
      </c>
      <c r="I27" s="314">
        <f t="shared" si="4"/>
        <v>188720</v>
      </c>
      <c r="J27" s="167">
        <f t="shared" si="5"/>
        <v>8425</v>
      </c>
      <c r="L27" s="25"/>
      <c r="M27" s="25"/>
      <c r="N27" s="25"/>
      <c r="O27" s="25"/>
      <c r="P27" s="25"/>
      <c r="Q27" s="25"/>
      <c r="R27" s="25"/>
      <c r="S27" s="25"/>
      <c r="T27" s="25"/>
    </row>
    <row r="28" spans="1:20" ht="15.75" customHeight="1">
      <c r="A28" s="46" t="s">
        <v>103</v>
      </c>
      <c r="B28" s="41">
        <v>22</v>
      </c>
      <c r="C28" s="41">
        <v>5</v>
      </c>
      <c r="D28" s="41">
        <v>13</v>
      </c>
      <c r="E28" s="32">
        <f t="shared" si="0"/>
        <v>40</v>
      </c>
      <c r="F28" s="314">
        <f t="shared" si="1"/>
        <v>605500</v>
      </c>
      <c r="G28" s="314">
        <f t="shared" si="2"/>
        <v>42385.000000000007</v>
      </c>
      <c r="H28" s="314">
        <f t="shared" si="3"/>
        <v>115045</v>
      </c>
      <c r="I28" s="314">
        <f t="shared" si="4"/>
        <v>678160</v>
      </c>
      <c r="J28" s="167">
        <f t="shared" si="5"/>
        <v>30275</v>
      </c>
      <c r="L28" s="25"/>
      <c r="M28" s="25"/>
      <c r="N28" s="25"/>
      <c r="O28" s="25"/>
      <c r="P28" s="25"/>
      <c r="Q28" s="25"/>
      <c r="R28" s="25"/>
      <c r="S28" s="25"/>
      <c r="T28" s="25"/>
    </row>
    <row r="29" spans="1:20" ht="15.75" customHeight="1">
      <c r="A29" s="46" t="s">
        <v>104</v>
      </c>
      <c r="B29" s="41">
        <v>21</v>
      </c>
      <c r="C29" s="41">
        <v>3</v>
      </c>
      <c r="D29" s="41">
        <v>13</v>
      </c>
      <c r="E29" s="32">
        <f t="shared" si="0"/>
        <v>37</v>
      </c>
      <c r="F29" s="314">
        <f t="shared" si="1"/>
        <v>550500</v>
      </c>
      <c r="G29" s="314">
        <f t="shared" si="2"/>
        <v>38535.000000000007</v>
      </c>
      <c r="H29" s="314">
        <f t="shared" si="3"/>
        <v>104595</v>
      </c>
      <c r="I29" s="314">
        <f t="shared" si="4"/>
        <v>616560</v>
      </c>
      <c r="J29" s="167">
        <f t="shared" si="5"/>
        <v>27525</v>
      </c>
      <c r="L29" s="25"/>
      <c r="M29" s="25"/>
      <c r="N29" s="25"/>
      <c r="O29" s="25"/>
      <c r="P29" s="25"/>
      <c r="Q29" s="25"/>
      <c r="R29" s="25"/>
      <c r="S29" s="25"/>
      <c r="T29" s="25"/>
    </row>
    <row r="30" spans="1:20" ht="15.75" customHeight="1">
      <c r="A30" s="46" t="s">
        <v>105</v>
      </c>
      <c r="B30" s="41">
        <v>17</v>
      </c>
      <c r="C30" s="41">
        <v>2</v>
      </c>
      <c r="D30" s="41">
        <v>17</v>
      </c>
      <c r="E30" s="32">
        <f t="shared" si="0"/>
        <v>36</v>
      </c>
      <c r="F30" s="314">
        <f t="shared" si="1"/>
        <v>524500</v>
      </c>
      <c r="G30" s="314">
        <f t="shared" si="2"/>
        <v>36715</v>
      </c>
      <c r="H30" s="314">
        <f t="shared" si="3"/>
        <v>99655</v>
      </c>
      <c r="I30" s="314">
        <f t="shared" si="4"/>
        <v>587440</v>
      </c>
      <c r="J30" s="167">
        <f t="shared" si="5"/>
        <v>26225</v>
      </c>
      <c r="L30" s="25"/>
      <c r="M30" s="25"/>
      <c r="N30" s="25"/>
      <c r="O30" s="25"/>
      <c r="P30" s="25"/>
      <c r="Q30" s="25"/>
      <c r="R30" s="25"/>
      <c r="S30" s="25"/>
      <c r="T30" s="25"/>
    </row>
    <row r="31" spans="1:20" ht="15.75" customHeight="1">
      <c r="A31" s="46" t="s">
        <v>106</v>
      </c>
      <c r="B31" s="41">
        <v>3</v>
      </c>
      <c r="C31" s="41">
        <v>18</v>
      </c>
      <c r="D31" s="41">
        <v>16</v>
      </c>
      <c r="E31" s="32">
        <f t="shared" si="0"/>
        <v>37</v>
      </c>
      <c r="F31" s="314">
        <f t="shared" si="1"/>
        <v>621000</v>
      </c>
      <c r="G31" s="314">
        <f t="shared" si="2"/>
        <v>43470.000000000007</v>
      </c>
      <c r="H31" s="314">
        <f t="shared" si="3"/>
        <v>117990</v>
      </c>
      <c r="I31" s="314">
        <f t="shared" si="4"/>
        <v>695520</v>
      </c>
      <c r="J31" s="167">
        <f t="shared" si="5"/>
        <v>31050</v>
      </c>
      <c r="L31" s="25"/>
      <c r="M31" s="25"/>
      <c r="N31" s="25"/>
      <c r="O31" s="25"/>
      <c r="P31" s="25"/>
      <c r="Q31" s="25"/>
      <c r="R31" s="25"/>
      <c r="S31" s="25"/>
      <c r="T31" s="25"/>
    </row>
    <row r="32" spans="1:20" ht="15.75" customHeight="1">
      <c r="A32" s="46" t="s">
        <v>107</v>
      </c>
      <c r="B32" s="41">
        <v>16</v>
      </c>
      <c r="C32" s="41">
        <v>21</v>
      </c>
      <c r="D32" s="41">
        <v>19</v>
      </c>
      <c r="E32" s="32">
        <f t="shared" si="0"/>
        <v>56</v>
      </c>
      <c r="F32" s="314">
        <f t="shared" si="1"/>
        <v>916500</v>
      </c>
      <c r="G32" s="314">
        <f t="shared" si="2"/>
        <v>64155.000000000007</v>
      </c>
      <c r="H32" s="314">
        <f t="shared" si="3"/>
        <v>174135</v>
      </c>
      <c r="I32" s="314">
        <f t="shared" si="4"/>
        <v>1026480</v>
      </c>
      <c r="J32" s="167">
        <f t="shared" si="5"/>
        <v>45825</v>
      </c>
      <c r="L32" s="25"/>
      <c r="M32" s="25"/>
      <c r="N32" s="25"/>
      <c r="O32" s="25"/>
      <c r="P32" s="25"/>
      <c r="Q32" s="25"/>
      <c r="R32" s="25"/>
      <c r="S32" s="25"/>
      <c r="T32" s="25"/>
    </row>
    <row r="33" spans="1:20" ht="15.75" customHeight="1">
      <c r="A33" s="46" t="s">
        <v>108</v>
      </c>
      <c r="B33" s="41">
        <v>9</v>
      </c>
      <c r="C33" s="41">
        <v>10</v>
      </c>
      <c r="D33" s="41">
        <v>0</v>
      </c>
      <c r="E33" s="32">
        <f t="shared" si="0"/>
        <v>19</v>
      </c>
      <c r="F33" s="314">
        <f t="shared" si="1"/>
        <v>335000</v>
      </c>
      <c r="G33" s="314">
        <f t="shared" si="2"/>
        <v>23450.000000000004</v>
      </c>
      <c r="H33" s="314">
        <f t="shared" si="3"/>
        <v>63650</v>
      </c>
      <c r="I33" s="314">
        <f t="shared" si="4"/>
        <v>375200</v>
      </c>
      <c r="J33" s="167">
        <f t="shared" si="5"/>
        <v>16750</v>
      </c>
      <c r="L33" s="25"/>
      <c r="M33" s="25"/>
      <c r="N33" s="25"/>
      <c r="O33" s="25"/>
      <c r="P33" s="25"/>
      <c r="Q33" s="25"/>
      <c r="R33" s="25"/>
      <c r="S33" s="25"/>
      <c r="T33" s="25"/>
    </row>
    <row r="34" spans="1:20" ht="15.75" customHeight="1">
      <c r="A34" s="46" t="s">
        <v>109</v>
      </c>
      <c r="B34" s="41">
        <v>12</v>
      </c>
      <c r="C34" s="41">
        <v>16</v>
      </c>
      <c r="D34" s="41">
        <v>15</v>
      </c>
      <c r="E34" s="32">
        <f t="shared" si="0"/>
        <v>43</v>
      </c>
      <c r="F34" s="314">
        <f t="shared" si="1"/>
        <v>702500</v>
      </c>
      <c r="G34" s="314">
        <f t="shared" si="2"/>
        <v>49175.000000000007</v>
      </c>
      <c r="H34" s="314">
        <f t="shared" si="3"/>
        <v>133475</v>
      </c>
      <c r="I34" s="314">
        <f t="shared" si="4"/>
        <v>786800</v>
      </c>
      <c r="J34" s="167">
        <f t="shared" si="5"/>
        <v>35125</v>
      </c>
      <c r="L34" s="25"/>
      <c r="M34" s="25"/>
      <c r="N34" s="25"/>
      <c r="O34" s="25"/>
      <c r="P34" s="25"/>
      <c r="Q34" s="25"/>
      <c r="R34" s="25"/>
      <c r="S34" s="25"/>
      <c r="T34" s="25"/>
    </row>
    <row r="35" spans="1:20" ht="15.75" customHeight="1">
      <c r="A35" s="46" t="s">
        <v>110</v>
      </c>
      <c r="B35" s="41">
        <v>10</v>
      </c>
      <c r="C35" s="41">
        <v>11</v>
      </c>
      <c r="D35" s="41">
        <v>3</v>
      </c>
      <c r="E35" s="32">
        <f t="shared" si="0"/>
        <v>24</v>
      </c>
      <c r="F35" s="314">
        <f t="shared" si="1"/>
        <v>410500</v>
      </c>
      <c r="G35" s="314">
        <f t="shared" si="2"/>
        <v>28735.000000000004</v>
      </c>
      <c r="H35" s="314">
        <f t="shared" si="3"/>
        <v>77995</v>
      </c>
      <c r="I35" s="314">
        <f t="shared" si="4"/>
        <v>459760</v>
      </c>
      <c r="J35" s="167">
        <f t="shared" si="5"/>
        <v>20525</v>
      </c>
      <c r="L35" s="25"/>
      <c r="M35" s="25"/>
      <c r="N35" s="25"/>
      <c r="O35" s="25"/>
      <c r="P35" s="25"/>
      <c r="Q35" s="25"/>
      <c r="R35" s="25"/>
      <c r="S35" s="25"/>
      <c r="T35" s="25"/>
    </row>
    <row r="36" spans="1:20" ht="15.75" customHeight="1">
      <c r="A36" s="46" t="s">
        <v>111</v>
      </c>
      <c r="B36" s="41">
        <v>16</v>
      </c>
      <c r="C36" s="41">
        <v>15</v>
      </c>
      <c r="D36" s="41">
        <v>11</v>
      </c>
      <c r="E36" s="32">
        <f t="shared" si="0"/>
        <v>42</v>
      </c>
      <c r="F36" s="314">
        <f t="shared" si="1"/>
        <v>688500</v>
      </c>
      <c r="G36" s="314">
        <f t="shared" si="2"/>
        <v>48195.000000000007</v>
      </c>
      <c r="H36" s="314">
        <f t="shared" si="3"/>
        <v>130815</v>
      </c>
      <c r="I36" s="314">
        <f t="shared" si="4"/>
        <v>771120</v>
      </c>
      <c r="J36" s="167">
        <f t="shared" si="5"/>
        <v>34425</v>
      </c>
      <c r="L36" s="25"/>
      <c r="M36" s="25"/>
      <c r="N36" s="25"/>
      <c r="O36" s="25"/>
      <c r="P36" s="25"/>
      <c r="Q36" s="25"/>
      <c r="R36" s="25"/>
      <c r="S36" s="25"/>
      <c r="T36" s="25"/>
    </row>
    <row r="37" spans="1:20" ht="15.75" customHeight="1">
      <c r="A37" s="46" t="s">
        <v>112</v>
      </c>
      <c r="B37" s="41">
        <v>14</v>
      </c>
      <c r="C37" s="41">
        <v>20</v>
      </c>
      <c r="D37" s="41">
        <v>13</v>
      </c>
      <c r="E37" s="32">
        <f t="shared" si="0"/>
        <v>47</v>
      </c>
      <c r="F37" s="314">
        <f t="shared" si="1"/>
        <v>785500</v>
      </c>
      <c r="G37" s="314">
        <f t="shared" si="2"/>
        <v>54985.000000000007</v>
      </c>
      <c r="H37" s="314">
        <f t="shared" si="3"/>
        <v>149245</v>
      </c>
      <c r="I37" s="314">
        <f t="shared" si="4"/>
        <v>879760</v>
      </c>
      <c r="J37" s="167">
        <f t="shared" si="5"/>
        <v>39275</v>
      </c>
      <c r="L37" s="25"/>
      <c r="M37" s="25"/>
      <c r="N37" s="25"/>
      <c r="O37" s="25"/>
      <c r="P37" s="25"/>
      <c r="Q37" s="25"/>
      <c r="R37" s="25"/>
      <c r="S37" s="25"/>
      <c r="T37" s="25"/>
    </row>
    <row r="38" spans="1:20" ht="15.75" customHeight="1">
      <c r="A38" s="46" t="s">
        <v>113</v>
      </c>
      <c r="B38" s="41">
        <v>1</v>
      </c>
      <c r="C38" s="41">
        <v>12</v>
      </c>
      <c r="D38" s="41">
        <v>3</v>
      </c>
      <c r="E38" s="32">
        <f t="shared" si="0"/>
        <v>16</v>
      </c>
      <c r="F38" s="314">
        <f t="shared" si="1"/>
        <v>295500</v>
      </c>
      <c r="G38" s="314">
        <f t="shared" si="2"/>
        <v>20685.000000000004</v>
      </c>
      <c r="H38" s="314">
        <f t="shared" si="3"/>
        <v>56145</v>
      </c>
      <c r="I38" s="314">
        <f t="shared" si="4"/>
        <v>330960</v>
      </c>
      <c r="J38" s="167">
        <f t="shared" si="5"/>
        <v>14775</v>
      </c>
      <c r="L38" s="25"/>
      <c r="M38" s="25"/>
      <c r="N38" s="25"/>
      <c r="O38" s="25"/>
      <c r="P38" s="25"/>
      <c r="Q38" s="25"/>
      <c r="R38" s="25"/>
      <c r="S38" s="25"/>
      <c r="T38" s="25"/>
    </row>
    <row r="39" spans="1:20" ht="15.75" customHeight="1">
      <c r="L39" s="25"/>
      <c r="M39" s="25"/>
      <c r="N39" s="25"/>
      <c r="O39" s="25"/>
      <c r="P39" s="25"/>
      <c r="Q39" s="25"/>
      <c r="R39" s="25"/>
      <c r="S39" s="25"/>
      <c r="T39" s="25"/>
    </row>
    <row r="40" spans="1:20" ht="16.5" customHeight="1">
      <c r="A40" s="85" t="s">
        <v>357</v>
      </c>
      <c r="B40" s="86">
        <f>SUM(B9:B38)</f>
        <v>375</v>
      </c>
      <c r="C40" s="86">
        <f t="shared" ref="C40:J40" si="6">SUM(C9:C38)</f>
        <v>406</v>
      </c>
      <c r="D40" s="86">
        <f t="shared" si="6"/>
        <v>317</v>
      </c>
      <c r="E40" s="86">
        <f t="shared" si="6"/>
        <v>1098</v>
      </c>
      <c r="F40" s="315">
        <f t="shared" si="6"/>
        <v>18024500</v>
      </c>
      <c r="G40" s="315">
        <f t="shared" si="6"/>
        <v>1261715.0000000002</v>
      </c>
      <c r="H40" s="315">
        <f t="shared" si="6"/>
        <v>3424655</v>
      </c>
      <c r="I40" s="315">
        <f t="shared" si="6"/>
        <v>20187440</v>
      </c>
      <c r="J40" s="315">
        <f t="shared" si="6"/>
        <v>901225</v>
      </c>
      <c r="L40" s="25"/>
      <c r="M40" s="25"/>
      <c r="N40" s="25"/>
      <c r="O40" s="25"/>
      <c r="P40" s="25"/>
      <c r="Q40" s="25"/>
      <c r="R40" s="25"/>
      <c r="S40" s="25"/>
      <c r="T40" s="25"/>
    </row>
    <row r="41" spans="1:20" ht="16.5" customHeight="1">
      <c r="A41" s="24"/>
      <c r="L41" s="25"/>
      <c r="M41" s="25"/>
      <c r="N41" s="25"/>
      <c r="O41" s="25"/>
      <c r="P41" s="25"/>
      <c r="Q41" s="25"/>
      <c r="R41" s="25"/>
      <c r="S41" s="25"/>
      <c r="T41" s="25"/>
    </row>
    <row r="42" spans="1:20" ht="16.5" customHeight="1">
      <c r="A42" s="85" t="s">
        <v>358</v>
      </c>
      <c r="B42" s="86">
        <f>AVERAGE(B9:B38)</f>
        <v>12.5</v>
      </c>
      <c r="C42" s="86">
        <f t="shared" ref="C42:J42" si="7">AVERAGE(C9:C38)</f>
        <v>13.533333333333333</v>
      </c>
      <c r="D42" s="86">
        <f t="shared" si="7"/>
        <v>10.566666666666666</v>
      </c>
      <c r="E42" s="86">
        <f t="shared" si="7"/>
        <v>36.6</v>
      </c>
      <c r="F42" s="315">
        <f t="shared" si="7"/>
        <v>600816.66666666663</v>
      </c>
      <c r="G42" s="315">
        <f t="shared" si="7"/>
        <v>42057.166666666672</v>
      </c>
      <c r="H42" s="315">
        <f t="shared" si="7"/>
        <v>114155.16666666667</v>
      </c>
      <c r="I42" s="315">
        <f t="shared" si="7"/>
        <v>672914.66666666663</v>
      </c>
      <c r="J42" s="315">
        <f t="shared" si="7"/>
        <v>30040.833333333332</v>
      </c>
      <c r="L42" s="25"/>
      <c r="M42" s="25"/>
      <c r="N42" s="25"/>
      <c r="O42" s="25"/>
      <c r="P42" s="25"/>
      <c r="Q42" s="25"/>
      <c r="R42" s="25"/>
      <c r="S42" s="25"/>
      <c r="T42" s="25"/>
    </row>
    <row r="43" spans="1:20" ht="16.5" customHeight="1">
      <c r="A43" s="26"/>
      <c r="L43" s="25"/>
      <c r="M43" s="25"/>
      <c r="N43" s="25"/>
      <c r="O43" s="25"/>
      <c r="P43" s="25"/>
      <c r="Q43" s="25"/>
      <c r="R43" s="25"/>
      <c r="S43" s="25"/>
      <c r="T43" s="25"/>
    </row>
    <row r="44" spans="1:20">
      <c r="A44" s="85" t="s">
        <v>359</v>
      </c>
      <c r="B44" s="86">
        <f>MAX(B9:B38)</f>
        <v>22</v>
      </c>
      <c r="C44" s="86">
        <f t="shared" ref="C44:J44" si="8">MAX(C9:C38)</f>
        <v>22</v>
      </c>
      <c r="D44" s="86">
        <f t="shared" si="8"/>
        <v>22</v>
      </c>
      <c r="E44" s="86">
        <f t="shared" si="8"/>
        <v>56</v>
      </c>
      <c r="F44" s="315">
        <f t="shared" si="8"/>
        <v>916500</v>
      </c>
      <c r="G44" s="315">
        <f t="shared" si="8"/>
        <v>64155.000000000007</v>
      </c>
      <c r="H44" s="315">
        <f t="shared" si="8"/>
        <v>174135</v>
      </c>
      <c r="I44" s="315">
        <f t="shared" si="8"/>
        <v>1026480</v>
      </c>
      <c r="J44" s="315">
        <f t="shared" si="8"/>
        <v>45825</v>
      </c>
      <c r="L44" s="26"/>
      <c r="M44" s="26"/>
      <c r="N44" s="26"/>
      <c r="O44" s="26"/>
      <c r="P44" s="26"/>
      <c r="Q44" s="26"/>
      <c r="R44" s="26"/>
      <c r="S44" s="26"/>
      <c r="T44" s="26"/>
    </row>
    <row r="45" spans="1:20">
      <c r="A45" s="26"/>
    </row>
    <row r="46" spans="1:20">
      <c r="A46" s="85" t="s">
        <v>360</v>
      </c>
      <c r="B46" s="86">
        <f>MIN(B9:B38)</f>
        <v>1</v>
      </c>
      <c r="C46" s="86">
        <f t="shared" ref="C46:J46" si="9">MIN(C9:C38)</f>
        <v>1</v>
      </c>
      <c r="D46" s="86">
        <f t="shared" si="9"/>
        <v>0</v>
      </c>
      <c r="E46" s="86">
        <f t="shared" si="9"/>
        <v>11</v>
      </c>
      <c r="F46" s="315">
        <f t="shared" si="9"/>
        <v>168500</v>
      </c>
      <c r="G46" s="315">
        <f t="shared" si="9"/>
        <v>11795.000000000002</v>
      </c>
      <c r="H46" s="315">
        <f t="shared" si="9"/>
        <v>32015</v>
      </c>
      <c r="I46" s="315">
        <f t="shared" si="9"/>
        <v>188720</v>
      </c>
      <c r="J46" s="315">
        <f t="shared" si="9"/>
        <v>8425</v>
      </c>
    </row>
  </sheetData>
  <mergeCells count="3">
    <mergeCell ref="A7:I7"/>
    <mergeCell ref="L2:T16"/>
    <mergeCell ref="C1:J6"/>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workbookViewId="0">
      <selection activeCell="B5" sqref="B5:G5"/>
    </sheetView>
  </sheetViews>
  <sheetFormatPr baseColWidth="10" defaultRowHeight="12.75"/>
  <cols>
    <col min="1" max="1" width="11.42578125" style="143"/>
    <col min="2" max="2" width="19.42578125" style="143" customWidth="1"/>
    <col min="3" max="3" width="20.28515625" style="143" customWidth="1"/>
    <col min="4" max="4" width="17" style="143" customWidth="1"/>
    <col min="5" max="5" width="17.7109375" style="143" customWidth="1"/>
    <col min="6" max="6" width="18.7109375" style="143" customWidth="1"/>
    <col min="7" max="16384" width="11.42578125" style="143"/>
  </cols>
  <sheetData>
    <row r="1" spans="1:7" ht="13.5" thickBot="1"/>
    <row r="2" spans="1:7" customFormat="1" ht="15" customHeight="1">
      <c r="A2" s="280"/>
      <c r="B2" s="283" t="s">
        <v>290</v>
      </c>
      <c r="C2" s="284"/>
      <c r="D2" s="284"/>
      <c r="E2" s="284"/>
      <c r="F2" s="284"/>
      <c r="G2" s="285"/>
    </row>
    <row r="3" spans="1:7" customFormat="1" ht="13.5" customHeight="1" thickBot="1">
      <c r="A3" s="281"/>
      <c r="B3" s="286" t="s">
        <v>516</v>
      </c>
      <c r="C3" s="287"/>
      <c r="D3" s="287"/>
      <c r="E3" s="287"/>
      <c r="F3" s="287"/>
      <c r="G3" s="288"/>
    </row>
    <row r="4" spans="1:7" customFormat="1" ht="15" customHeight="1">
      <c r="A4" s="281"/>
      <c r="B4" s="283" t="s">
        <v>520</v>
      </c>
      <c r="C4" s="284"/>
      <c r="D4" s="284"/>
      <c r="E4" s="284"/>
      <c r="F4" s="284"/>
      <c r="G4" s="285"/>
    </row>
    <row r="5" spans="1:7" customFormat="1" ht="15.75" customHeight="1" thickBot="1">
      <c r="A5" s="281"/>
      <c r="B5" s="289" t="s">
        <v>521</v>
      </c>
      <c r="C5" s="290"/>
      <c r="D5" s="290"/>
      <c r="E5" s="290"/>
      <c r="F5" s="290"/>
      <c r="G5" s="291"/>
    </row>
    <row r="6" spans="1:7" customFormat="1" ht="15.75" thickBot="1">
      <c r="A6" s="282"/>
      <c r="B6" s="301" t="s">
        <v>517</v>
      </c>
      <c r="C6" s="302"/>
      <c r="D6" s="301" t="s">
        <v>518</v>
      </c>
      <c r="E6" s="302"/>
      <c r="F6" s="301" t="s">
        <v>519</v>
      </c>
      <c r="G6" s="302"/>
    </row>
    <row r="9" spans="1:7" ht="26.25">
      <c r="A9" s="292" t="s">
        <v>502</v>
      </c>
      <c r="B9" s="292"/>
      <c r="C9" s="292"/>
      <c r="D9" s="292"/>
      <c r="E9" s="292"/>
      <c r="F9" s="292"/>
      <c r="G9" s="292"/>
    </row>
    <row r="10" spans="1:7" ht="13.5" thickBot="1"/>
    <row r="11" spans="1:7" ht="130.5" customHeight="1" thickBot="1">
      <c r="A11" s="293" t="s">
        <v>503</v>
      </c>
      <c r="B11" s="144" t="s">
        <v>504</v>
      </c>
      <c r="C11" s="145" t="s">
        <v>505</v>
      </c>
      <c r="D11" s="145" t="s">
        <v>506</v>
      </c>
      <c r="E11" s="145" t="s">
        <v>507</v>
      </c>
      <c r="F11" s="146" t="s">
        <v>508</v>
      </c>
      <c r="G11" s="295" t="s">
        <v>509</v>
      </c>
    </row>
    <row r="12" spans="1:7" ht="15.75" thickBot="1">
      <c r="A12" s="294"/>
      <c r="B12" s="147">
        <v>5</v>
      </c>
      <c r="C12" s="148">
        <v>4</v>
      </c>
      <c r="D12" s="148">
        <v>3</v>
      </c>
      <c r="E12" s="148">
        <v>2</v>
      </c>
      <c r="F12" s="149">
        <v>0</v>
      </c>
      <c r="G12" s="296"/>
    </row>
    <row r="13" spans="1:7" ht="13.5" thickBot="1">
      <c r="A13" s="150"/>
      <c r="B13" s="150"/>
      <c r="C13" s="150"/>
      <c r="D13" s="150"/>
      <c r="E13" s="150"/>
      <c r="F13" s="151"/>
      <c r="G13" s="297"/>
    </row>
    <row r="14" spans="1:7" ht="18">
      <c r="A14" s="152" t="s">
        <v>368</v>
      </c>
      <c r="B14" s="298" t="s">
        <v>510</v>
      </c>
      <c r="C14" s="299"/>
      <c r="D14" s="299"/>
      <c r="E14" s="299"/>
      <c r="F14" s="299"/>
      <c r="G14" s="150"/>
    </row>
    <row r="15" spans="1:7" ht="20.100000000000001" customHeight="1">
      <c r="A15" s="153">
        <v>1</v>
      </c>
      <c r="B15" s="276" t="s">
        <v>512</v>
      </c>
      <c r="C15" s="277"/>
      <c r="D15" s="277"/>
      <c r="E15" s="277"/>
      <c r="F15" s="278"/>
      <c r="G15" s="154"/>
    </row>
    <row r="16" spans="1:7" ht="30" customHeight="1">
      <c r="A16" s="153">
        <v>2</v>
      </c>
      <c r="B16" s="300" t="s">
        <v>513</v>
      </c>
      <c r="C16" s="277"/>
      <c r="D16" s="277"/>
      <c r="E16" s="277"/>
      <c r="F16" s="278"/>
      <c r="G16" s="154"/>
    </row>
    <row r="17" spans="1:7" ht="20.100000000000001" customHeight="1">
      <c r="A17" s="153">
        <v>3</v>
      </c>
      <c r="B17" s="276" t="s">
        <v>514</v>
      </c>
      <c r="C17" s="277"/>
      <c r="D17" s="277"/>
      <c r="E17" s="277"/>
      <c r="F17" s="278"/>
      <c r="G17" s="154"/>
    </row>
    <row r="18" spans="1:7" ht="20.100000000000001" customHeight="1">
      <c r="A18" s="153">
        <v>4</v>
      </c>
      <c r="B18" s="276" t="s">
        <v>515</v>
      </c>
      <c r="C18" s="277"/>
      <c r="D18" s="277"/>
      <c r="E18" s="277"/>
      <c r="F18" s="278"/>
      <c r="G18" s="154"/>
    </row>
    <row r="19" spans="1:7">
      <c r="A19" s="279"/>
      <c r="B19" s="279"/>
      <c r="C19" s="279"/>
      <c r="D19" s="279"/>
      <c r="E19" s="279"/>
      <c r="F19" s="155" t="s">
        <v>511</v>
      </c>
      <c r="G19" s="156" t="e">
        <f>AVERAGE(G15:G18)</f>
        <v>#DIV/0!</v>
      </c>
    </row>
    <row r="22" spans="1:7">
      <c r="F22" s="157"/>
    </row>
  </sheetData>
  <mergeCells count="17">
    <mergeCell ref="B17:F17"/>
    <mergeCell ref="B18:F18"/>
    <mergeCell ref="A19:E19"/>
    <mergeCell ref="A2:A6"/>
    <mergeCell ref="B2:G2"/>
    <mergeCell ref="B3:G3"/>
    <mergeCell ref="B4:G4"/>
    <mergeCell ref="B5:G5"/>
    <mergeCell ref="A9:G9"/>
    <mergeCell ref="A11:A12"/>
    <mergeCell ref="G11:G13"/>
    <mergeCell ref="B14:F14"/>
    <mergeCell ref="B15:F15"/>
    <mergeCell ref="B16:F16"/>
    <mergeCell ref="B6:C6"/>
    <mergeCell ref="D6:E6"/>
    <mergeCell ref="F6:G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5"/>
  <sheetViews>
    <sheetView topLeftCell="A43" zoomScale="85" zoomScaleNormal="85" workbookViewId="0">
      <selection activeCell="B66" sqref="B66"/>
    </sheetView>
  </sheetViews>
  <sheetFormatPr baseColWidth="10" defaultRowHeight="15"/>
  <cols>
    <col min="1" max="1" width="35.5703125" bestFit="1" customWidth="1"/>
    <col min="2" max="13" width="13.28515625" bestFit="1" customWidth="1"/>
    <col min="14" max="14" width="13.140625" customWidth="1"/>
  </cols>
  <sheetData>
    <row r="1" spans="1:14" ht="26.25">
      <c r="A1" s="177" t="s">
        <v>154</v>
      </c>
      <c r="B1" s="177"/>
      <c r="C1" s="177"/>
      <c r="D1" s="177"/>
      <c r="E1" s="177"/>
      <c r="F1" s="177"/>
      <c r="G1" s="177"/>
      <c r="H1" s="177"/>
      <c r="I1" s="177"/>
      <c r="J1" s="177"/>
      <c r="K1" s="177"/>
      <c r="L1" s="177"/>
      <c r="M1" s="177"/>
    </row>
    <row r="2" spans="1:14" ht="26.25">
      <c r="A2" s="177" t="str">
        <f ca="1">"AÑO "&amp;YEAR(TODAY())-1</f>
        <v>AÑO 2023</v>
      </c>
      <c r="B2" s="177"/>
      <c r="C2" s="177"/>
      <c r="D2" s="177"/>
      <c r="E2" s="177"/>
      <c r="F2" s="177"/>
      <c r="G2" s="177"/>
      <c r="H2" s="177"/>
      <c r="I2" s="177"/>
      <c r="J2" s="177"/>
      <c r="K2" s="177"/>
      <c r="L2" s="177"/>
      <c r="M2" s="177"/>
    </row>
    <row r="3" spans="1:14" ht="14.25" customHeight="1">
      <c r="A3" s="33"/>
      <c r="B3" s="181" t="s">
        <v>496</v>
      </c>
      <c r="C3" s="181"/>
      <c r="D3" s="181"/>
      <c r="E3" s="33"/>
      <c r="F3" s="33"/>
      <c r="G3" s="33"/>
      <c r="H3" s="33"/>
      <c r="I3" s="33"/>
      <c r="J3" s="33"/>
      <c r="K3" s="33"/>
      <c r="L3" s="33"/>
      <c r="M3" s="33"/>
    </row>
    <row r="4" spans="1:14" ht="18.75">
      <c r="A4" s="179" t="s">
        <v>153</v>
      </c>
      <c r="B4" s="178" t="s">
        <v>152</v>
      </c>
      <c r="C4" s="178"/>
      <c r="D4" s="178"/>
      <c r="E4" s="178"/>
      <c r="F4" s="178"/>
      <c r="G4" s="178"/>
      <c r="H4" s="178"/>
      <c r="I4" s="178"/>
      <c r="J4" s="178"/>
      <c r="K4" s="178"/>
      <c r="L4" s="178"/>
      <c r="M4" s="178"/>
      <c r="N4" s="182" t="s">
        <v>151</v>
      </c>
    </row>
    <row r="5" spans="1:14">
      <c r="A5" s="180"/>
      <c r="B5" s="70" t="s">
        <v>150</v>
      </c>
      <c r="C5" s="70" t="s">
        <v>149</v>
      </c>
      <c r="D5" s="70" t="s">
        <v>148</v>
      </c>
      <c r="E5" s="71" t="s">
        <v>147</v>
      </c>
      <c r="F5" s="71" t="s">
        <v>146</v>
      </c>
      <c r="G5" s="71" t="s">
        <v>145</v>
      </c>
      <c r="H5" s="72" t="s">
        <v>144</v>
      </c>
      <c r="I5" s="72" t="s">
        <v>143</v>
      </c>
      <c r="J5" s="72" t="s">
        <v>142</v>
      </c>
      <c r="K5" s="54" t="s">
        <v>141</v>
      </c>
      <c r="L5" s="54" t="s">
        <v>140</v>
      </c>
      <c r="M5" s="54" t="s">
        <v>139</v>
      </c>
      <c r="N5" s="182"/>
    </row>
    <row r="6" spans="1:14">
      <c r="A6" s="87" t="s">
        <v>84</v>
      </c>
      <c r="B6" s="60">
        <v>50000</v>
      </c>
      <c r="C6" s="60">
        <v>120000</v>
      </c>
      <c r="D6" s="60">
        <v>50000</v>
      </c>
      <c r="E6" s="63">
        <v>100000</v>
      </c>
      <c r="F6" s="63"/>
      <c r="G6" s="63">
        <v>150000</v>
      </c>
      <c r="H6" s="65"/>
      <c r="I6" s="65">
        <v>30000</v>
      </c>
      <c r="J6" s="65">
        <v>150000</v>
      </c>
      <c r="K6" s="69"/>
      <c r="L6" s="69">
        <v>50000</v>
      </c>
      <c r="M6" s="69">
        <v>200000</v>
      </c>
      <c r="N6" s="68">
        <f>COUNTBLANK(B6:M6)</f>
        <v>3</v>
      </c>
    </row>
    <row r="7" spans="1:14">
      <c r="A7" s="87" t="s">
        <v>85</v>
      </c>
      <c r="B7" s="60"/>
      <c r="C7" s="60">
        <v>50000</v>
      </c>
      <c r="D7" s="60">
        <v>80000</v>
      </c>
      <c r="E7" s="63">
        <v>50000</v>
      </c>
      <c r="F7" s="63">
        <v>50000</v>
      </c>
      <c r="G7" s="63">
        <v>140000</v>
      </c>
      <c r="H7" s="65">
        <v>50000</v>
      </c>
      <c r="I7" s="65">
        <v>45000</v>
      </c>
      <c r="J7" s="65">
        <v>140000</v>
      </c>
      <c r="K7" s="69">
        <v>50000</v>
      </c>
      <c r="L7" s="69">
        <v>50000</v>
      </c>
      <c r="M7" s="69">
        <v>50000</v>
      </c>
      <c r="N7" s="68">
        <f t="shared" ref="N7:N55" si="0">COUNTBLANK(B7:M7)</f>
        <v>1</v>
      </c>
    </row>
    <row r="8" spans="1:14">
      <c r="A8" s="87" t="s">
        <v>86</v>
      </c>
      <c r="B8" s="60">
        <v>50000</v>
      </c>
      <c r="C8" s="60">
        <v>50000</v>
      </c>
      <c r="D8" s="60">
        <v>50000</v>
      </c>
      <c r="E8" s="63">
        <v>50000</v>
      </c>
      <c r="F8" s="63">
        <v>90000</v>
      </c>
      <c r="G8" s="63">
        <v>130000</v>
      </c>
      <c r="H8" s="65">
        <v>50000</v>
      </c>
      <c r="I8" s="65">
        <v>50000</v>
      </c>
      <c r="J8" s="65">
        <v>130000</v>
      </c>
      <c r="K8" s="69">
        <v>50000</v>
      </c>
      <c r="L8" s="69">
        <v>50000</v>
      </c>
      <c r="M8" s="69">
        <v>150000</v>
      </c>
      <c r="N8" s="68">
        <f t="shared" si="0"/>
        <v>0</v>
      </c>
    </row>
    <row r="9" spans="1:14">
      <c r="A9" s="87" t="s">
        <v>87</v>
      </c>
      <c r="B9" s="60"/>
      <c r="C9" s="60">
        <v>100000</v>
      </c>
      <c r="D9" s="60"/>
      <c r="E9" s="63">
        <v>40000</v>
      </c>
      <c r="F9" s="63">
        <v>100000</v>
      </c>
      <c r="G9" s="63"/>
      <c r="H9" s="65">
        <v>50000</v>
      </c>
      <c r="I9" s="65">
        <v>90000</v>
      </c>
      <c r="J9" s="65">
        <v>120000</v>
      </c>
      <c r="K9" s="69">
        <v>50000</v>
      </c>
      <c r="L9" s="69">
        <v>50000</v>
      </c>
      <c r="M9" s="69"/>
      <c r="N9" s="68">
        <f t="shared" si="0"/>
        <v>4</v>
      </c>
    </row>
    <row r="10" spans="1:14">
      <c r="A10" s="87" t="s">
        <v>88</v>
      </c>
      <c r="B10" s="60">
        <v>50000</v>
      </c>
      <c r="C10" s="60">
        <v>80000</v>
      </c>
      <c r="D10" s="60"/>
      <c r="E10" s="63">
        <v>50000</v>
      </c>
      <c r="F10" s="63">
        <v>120000</v>
      </c>
      <c r="G10" s="63"/>
      <c r="H10" s="65">
        <v>50000</v>
      </c>
      <c r="I10" s="65"/>
      <c r="J10" s="65">
        <v>100000</v>
      </c>
      <c r="K10" s="69">
        <v>50000</v>
      </c>
      <c r="L10" s="69">
        <v>50000</v>
      </c>
      <c r="M10" s="69">
        <v>50000</v>
      </c>
      <c r="N10" s="68">
        <f t="shared" si="0"/>
        <v>3</v>
      </c>
    </row>
    <row r="11" spans="1:14">
      <c r="A11" s="87" t="s">
        <v>89</v>
      </c>
      <c r="B11" s="60">
        <v>30000</v>
      </c>
      <c r="C11" s="60"/>
      <c r="D11" s="60">
        <v>50000</v>
      </c>
      <c r="E11" s="63">
        <v>50000</v>
      </c>
      <c r="F11" s="63"/>
      <c r="G11" s="63">
        <v>50000</v>
      </c>
      <c r="H11" s="65">
        <v>50000</v>
      </c>
      <c r="I11" s="65"/>
      <c r="J11" s="65">
        <v>50000</v>
      </c>
      <c r="K11" s="69"/>
      <c r="L11" s="69"/>
      <c r="M11" s="69">
        <v>50000</v>
      </c>
      <c r="N11" s="68">
        <f t="shared" si="0"/>
        <v>5</v>
      </c>
    </row>
    <row r="12" spans="1:14">
      <c r="A12" s="87" t="s">
        <v>90</v>
      </c>
      <c r="B12" s="60">
        <v>100000</v>
      </c>
      <c r="C12" s="60">
        <v>50000</v>
      </c>
      <c r="D12" s="60">
        <v>50000</v>
      </c>
      <c r="E12" s="63">
        <v>90000</v>
      </c>
      <c r="F12" s="63"/>
      <c r="G12" s="63">
        <v>80000</v>
      </c>
      <c r="H12" s="65">
        <v>50000</v>
      </c>
      <c r="I12" s="65">
        <v>150000</v>
      </c>
      <c r="J12" s="65">
        <v>110000</v>
      </c>
      <c r="K12" s="69"/>
      <c r="L12" s="69"/>
      <c r="M12" s="69">
        <v>100000</v>
      </c>
      <c r="N12" s="68">
        <f t="shared" si="0"/>
        <v>3</v>
      </c>
    </row>
    <row r="13" spans="1:14">
      <c r="A13" s="87" t="s">
        <v>91</v>
      </c>
      <c r="B13" s="60">
        <v>50000</v>
      </c>
      <c r="C13" s="60">
        <v>40000</v>
      </c>
      <c r="D13" s="60">
        <v>80000</v>
      </c>
      <c r="E13" s="63">
        <v>50000</v>
      </c>
      <c r="F13" s="63">
        <v>50000</v>
      </c>
      <c r="G13" s="63">
        <v>90000</v>
      </c>
      <c r="H13" s="65">
        <v>50000</v>
      </c>
      <c r="I13" s="65"/>
      <c r="J13" s="65">
        <v>50000</v>
      </c>
      <c r="K13" s="69"/>
      <c r="L13" s="69"/>
      <c r="M13" s="69">
        <v>50000</v>
      </c>
      <c r="N13" s="68">
        <f t="shared" si="0"/>
        <v>3</v>
      </c>
    </row>
    <row r="14" spans="1:14">
      <c r="A14" s="87" t="s">
        <v>92</v>
      </c>
      <c r="B14" s="60">
        <v>50000</v>
      </c>
      <c r="C14" s="60"/>
      <c r="D14" s="60">
        <v>50000</v>
      </c>
      <c r="E14" s="63">
        <v>50000</v>
      </c>
      <c r="F14" s="63">
        <v>50000</v>
      </c>
      <c r="G14" s="63">
        <v>50000</v>
      </c>
      <c r="H14" s="65"/>
      <c r="I14" s="65"/>
      <c r="J14" s="65">
        <v>50000</v>
      </c>
      <c r="K14" s="69">
        <v>50000</v>
      </c>
      <c r="L14" s="69"/>
      <c r="M14" s="69">
        <v>50000</v>
      </c>
      <c r="N14" s="68">
        <f t="shared" si="0"/>
        <v>4</v>
      </c>
    </row>
    <row r="15" spans="1:14">
      <c r="A15" s="87" t="s">
        <v>93</v>
      </c>
      <c r="B15" s="60"/>
      <c r="C15" s="60">
        <v>50000</v>
      </c>
      <c r="D15" s="60">
        <v>50000</v>
      </c>
      <c r="E15" s="63">
        <v>50000</v>
      </c>
      <c r="F15" s="63">
        <v>130000</v>
      </c>
      <c r="G15" s="63">
        <v>50000</v>
      </c>
      <c r="H15" s="65"/>
      <c r="I15" s="65"/>
      <c r="J15" s="65">
        <v>50000</v>
      </c>
      <c r="K15" s="69">
        <v>50000</v>
      </c>
      <c r="L15" s="69">
        <v>50000</v>
      </c>
      <c r="M15" s="69">
        <v>50000</v>
      </c>
      <c r="N15" s="68">
        <f t="shared" si="0"/>
        <v>3</v>
      </c>
    </row>
    <row r="16" spans="1:14">
      <c r="A16" s="87" t="s">
        <v>94</v>
      </c>
      <c r="B16" s="60"/>
      <c r="C16" s="60">
        <v>100000</v>
      </c>
      <c r="D16" s="60"/>
      <c r="E16" s="63">
        <v>80000</v>
      </c>
      <c r="F16" s="63">
        <v>140000</v>
      </c>
      <c r="G16" s="63">
        <v>50000</v>
      </c>
      <c r="H16" s="65">
        <v>50000</v>
      </c>
      <c r="I16" s="65"/>
      <c r="J16" s="65">
        <v>50000</v>
      </c>
      <c r="K16" s="69">
        <v>50000</v>
      </c>
      <c r="L16" s="69">
        <v>50000</v>
      </c>
      <c r="M16" s="69">
        <v>80000</v>
      </c>
      <c r="N16" s="68">
        <f t="shared" si="0"/>
        <v>3</v>
      </c>
    </row>
    <row r="17" spans="1:14">
      <c r="A17" s="87" t="s">
        <v>95</v>
      </c>
      <c r="B17" s="60">
        <v>50000</v>
      </c>
      <c r="C17" s="60"/>
      <c r="D17" s="60"/>
      <c r="E17" s="63">
        <v>50000</v>
      </c>
      <c r="F17" s="63">
        <v>50000</v>
      </c>
      <c r="G17" s="63">
        <v>60000</v>
      </c>
      <c r="H17" s="65">
        <v>50000</v>
      </c>
      <c r="I17" s="65">
        <v>50000</v>
      </c>
      <c r="J17" s="65">
        <v>50000</v>
      </c>
      <c r="K17" s="69">
        <v>50000</v>
      </c>
      <c r="L17" s="69">
        <v>120000</v>
      </c>
      <c r="M17" s="69">
        <v>120000</v>
      </c>
      <c r="N17" s="68">
        <f t="shared" si="0"/>
        <v>2</v>
      </c>
    </row>
    <row r="18" spans="1:14">
      <c r="A18" s="87" t="s">
        <v>96</v>
      </c>
      <c r="B18" s="60">
        <v>25000</v>
      </c>
      <c r="C18" s="60"/>
      <c r="D18" s="60">
        <v>135000</v>
      </c>
      <c r="E18" s="63">
        <v>50000</v>
      </c>
      <c r="F18" s="63">
        <v>50000</v>
      </c>
      <c r="G18" s="63">
        <v>70000</v>
      </c>
      <c r="H18" s="65">
        <v>70000</v>
      </c>
      <c r="I18" s="65">
        <v>50000</v>
      </c>
      <c r="J18" s="65">
        <v>120000</v>
      </c>
      <c r="K18" s="69"/>
      <c r="L18" s="69">
        <v>50000</v>
      </c>
      <c r="M18" s="69">
        <v>50000</v>
      </c>
      <c r="N18" s="68">
        <f t="shared" si="0"/>
        <v>2</v>
      </c>
    </row>
    <row r="19" spans="1:14">
      <c r="A19" s="87" t="s">
        <v>97</v>
      </c>
      <c r="B19" s="60">
        <v>250000</v>
      </c>
      <c r="C19" s="60">
        <v>80000</v>
      </c>
      <c r="D19" s="60">
        <v>50000</v>
      </c>
      <c r="E19" s="63">
        <v>120000</v>
      </c>
      <c r="F19" s="63">
        <v>50000</v>
      </c>
      <c r="G19" s="63">
        <v>80000</v>
      </c>
      <c r="H19" s="65">
        <v>1210000</v>
      </c>
      <c r="I19" s="65">
        <v>150000</v>
      </c>
      <c r="J19" s="65">
        <v>130000</v>
      </c>
      <c r="K19" s="69">
        <v>50000</v>
      </c>
      <c r="L19" s="69">
        <v>50000</v>
      </c>
      <c r="M19" s="69">
        <v>50000</v>
      </c>
      <c r="N19" s="68">
        <f t="shared" si="0"/>
        <v>0</v>
      </c>
    </row>
    <row r="20" spans="1:14">
      <c r="A20" s="87" t="s">
        <v>98</v>
      </c>
      <c r="B20" s="60">
        <v>120000</v>
      </c>
      <c r="C20" s="60">
        <v>70000</v>
      </c>
      <c r="D20" s="60">
        <v>40000</v>
      </c>
      <c r="E20" s="63">
        <v>50000</v>
      </c>
      <c r="F20" s="63">
        <v>90000</v>
      </c>
      <c r="G20" s="63">
        <v>50000</v>
      </c>
      <c r="H20" s="65">
        <v>50000</v>
      </c>
      <c r="I20" s="65">
        <v>50000</v>
      </c>
      <c r="J20" s="65">
        <v>140000</v>
      </c>
      <c r="K20" s="69">
        <v>50000</v>
      </c>
      <c r="L20" s="69">
        <v>130000</v>
      </c>
      <c r="M20" s="69">
        <v>50000</v>
      </c>
      <c r="N20" s="68">
        <f t="shared" si="0"/>
        <v>0</v>
      </c>
    </row>
    <row r="21" spans="1:14">
      <c r="A21" s="87" t="s">
        <v>99</v>
      </c>
      <c r="B21" s="60"/>
      <c r="C21" s="60">
        <v>50000</v>
      </c>
      <c r="D21" s="60">
        <v>50000</v>
      </c>
      <c r="E21" s="63">
        <v>50000</v>
      </c>
      <c r="F21" s="63">
        <v>50000</v>
      </c>
      <c r="G21" s="63"/>
      <c r="H21" s="65">
        <v>50000</v>
      </c>
      <c r="I21" s="65"/>
      <c r="J21" s="65">
        <v>150000</v>
      </c>
      <c r="K21" s="69">
        <v>50000</v>
      </c>
      <c r="L21" s="69">
        <v>50000</v>
      </c>
      <c r="M21" s="69">
        <v>50000</v>
      </c>
      <c r="N21" s="68">
        <f t="shared" si="0"/>
        <v>3</v>
      </c>
    </row>
    <row r="22" spans="1:14">
      <c r="A22" s="87" t="s">
        <v>100</v>
      </c>
      <c r="B22" s="60">
        <v>80000</v>
      </c>
      <c r="C22" s="60">
        <v>50000</v>
      </c>
      <c r="D22" s="60">
        <v>50000</v>
      </c>
      <c r="E22" s="63">
        <v>130000</v>
      </c>
      <c r="F22" s="63">
        <v>60000</v>
      </c>
      <c r="G22" s="63"/>
      <c r="H22" s="65">
        <v>50000</v>
      </c>
      <c r="I22" s="65"/>
      <c r="J22" s="65">
        <v>160000</v>
      </c>
      <c r="K22" s="69">
        <v>50000</v>
      </c>
      <c r="L22" s="69">
        <v>50000</v>
      </c>
      <c r="M22" s="69">
        <v>130000</v>
      </c>
      <c r="N22" s="68">
        <f t="shared" si="0"/>
        <v>2</v>
      </c>
    </row>
    <row r="23" spans="1:14">
      <c r="A23" s="87" t="s">
        <v>101</v>
      </c>
      <c r="B23" s="60">
        <v>50000</v>
      </c>
      <c r="C23" s="60">
        <v>90000</v>
      </c>
      <c r="D23" s="60">
        <v>50000</v>
      </c>
      <c r="E23" s="63">
        <v>50000</v>
      </c>
      <c r="F23" s="63"/>
      <c r="G23" s="63"/>
      <c r="H23" s="65"/>
      <c r="I23" s="65">
        <v>80000</v>
      </c>
      <c r="J23" s="65">
        <v>180000</v>
      </c>
      <c r="K23" s="69"/>
      <c r="L23" s="69">
        <v>50000</v>
      </c>
      <c r="M23" s="69">
        <v>50000</v>
      </c>
      <c r="N23" s="68">
        <f t="shared" si="0"/>
        <v>4</v>
      </c>
    </row>
    <row r="24" spans="1:14">
      <c r="A24" s="87" t="s">
        <v>102</v>
      </c>
      <c r="B24" s="60"/>
      <c r="C24" s="60">
        <v>50000</v>
      </c>
      <c r="D24" s="60">
        <v>80000</v>
      </c>
      <c r="E24" s="63">
        <v>50000</v>
      </c>
      <c r="F24" s="63">
        <v>50000</v>
      </c>
      <c r="G24" s="63">
        <v>50000</v>
      </c>
      <c r="H24" s="65">
        <v>50000</v>
      </c>
      <c r="I24" s="65"/>
      <c r="J24" s="65">
        <v>40000</v>
      </c>
      <c r="K24" s="69"/>
      <c r="L24" s="69">
        <v>50000</v>
      </c>
      <c r="M24" s="69"/>
      <c r="N24" s="68">
        <f t="shared" si="0"/>
        <v>4</v>
      </c>
    </row>
    <row r="25" spans="1:14">
      <c r="A25" s="87" t="s">
        <v>103</v>
      </c>
      <c r="B25" s="60">
        <v>50000</v>
      </c>
      <c r="C25" s="60"/>
      <c r="D25" s="60">
        <v>50000</v>
      </c>
      <c r="E25" s="63">
        <v>50000</v>
      </c>
      <c r="F25" s="63">
        <v>40000</v>
      </c>
      <c r="G25" s="63">
        <v>50000</v>
      </c>
      <c r="H25" s="65">
        <v>50000</v>
      </c>
      <c r="I25" s="65">
        <v>50000</v>
      </c>
      <c r="J25" s="65">
        <v>50000</v>
      </c>
      <c r="K25" s="69">
        <v>50000</v>
      </c>
      <c r="L25" s="69">
        <v>50000</v>
      </c>
      <c r="M25" s="69">
        <v>50000</v>
      </c>
      <c r="N25" s="68">
        <f t="shared" si="0"/>
        <v>1</v>
      </c>
    </row>
    <row r="26" spans="1:14">
      <c r="A26" s="87" t="s">
        <v>104</v>
      </c>
      <c r="B26" s="60">
        <v>90000</v>
      </c>
      <c r="C26" s="60">
        <v>50000</v>
      </c>
      <c r="D26" s="60">
        <v>90000</v>
      </c>
      <c r="E26" s="63">
        <v>140000</v>
      </c>
      <c r="F26" s="63">
        <v>80000</v>
      </c>
      <c r="G26" s="63">
        <v>50000</v>
      </c>
      <c r="H26" s="65">
        <v>60000</v>
      </c>
      <c r="I26" s="65">
        <v>150000</v>
      </c>
      <c r="J26" s="65">
        <v>60000</v>
      </c>
      <c r="K26" s="69">
        <v>50000</v>
      </c>
      <c r="L26" s="69">
        <v>50000</v>
      </c>
      <c r="M26" s="69">
        <v>50000</v>
      </c>
      <c r="N26" s="68">
        <f t="shared" si="0"/>
        <v>0</v>
      </c>
    </row>
    <row r="27" spans="1:14">
      <c r="A27" s="87" t="s">
        <v>105</v>
      </c>
      <c r="B27" s="60">
        <v>50000</v>
      </c>
      <c r="C27" s="60">
        <v>50000</v>
      </c>
      <c r="D27" s="60"/>
      <c r="E27" s="63">
        <v>50000</v>
      </c>
      <c r="F27" s="63">
        <v>96000</v>
      </c>
      <c r="G27" s="63">
        <v>50000</v>
      </c>
      <c r="H27" s="65">
        <v>40000</v>
      </c>
      <c r="I27" s="65">
        <v>50000</v>
      </c>
      <c r="J27" s="65">
        <v>50000</v>
      </c>
      <c r="K27" s="69">
        <v>50000</v>
      </c>
      <c r="L27" s="69">
        <v>50000</v>
      </c>
      <c r="M27" s="69">
        <v>50000</v>
      </c>
      <c r="N27" s="68">
        <f t="shared" si="0"/>
        <v>1</v>
      </c>
    </row>
    <row r="28" spans="1:14">
      <c r="A28" s="87" t="s">
        <v>106</v>
      </c>
      <c r="B28" s="60"/>
      <c r="C28" s="60">
        <v>150000</v>
      </c>
      <c r="D28" s="60">
        <v>50000</v>
      </c>
      <c r="E28" s="63">
        <v>50000</v>
      </c>
      <c r="F28" s="63">
        <v>50000</v>
      </c>
      <c r="G28" s="63">
        <v>50000</v>
      </c>
      <c r="H28" s="65">
        <v>50000</v>
      </c>
      <c r="I28" s="65">
        <v>50000</v>
      </c>
      <c r="J28" s="65">
        <v>50000</v>
      </c>
      <c r="K28" s="69">
        <v>50000</v>
      </c>
      <c r="L28" s="69">
        <v>50000</v>
      </c>
      <c r="M28" s="69">
        <v>90000</v>
      </c>
      <c r="N28" s="68">
        <f t="shared" si="0"/>
        <v>1</v>
      </c>
    </row>
    <row r="29" spans="1:14">
      <c r="A29" s="87" t="s">
        <v>107</v>
      </c>
      <c r="B29" s="60">
        <v>100000</v>
      </c>
      <c r="C29" s="60">
        <v>50000</v>
      </c>
      <c r="D29" s="60">
        <v>50000</v>
      </c>
      <c r="E29" s="63">
        <v>50000</v>
      </c>
      <c r="F29" s="63">
        <v>50000</v>
      </c>
      <c r="G29" s="63">
        <v>50000</v>
      </c>
      <c r="H29" s="65">
        <v>50000</v>
      </c>
      <c r="I29" s="65"/>
      <c r="J29" s="65">
        <v>90000</v>
      </c>
      <c r="K29" s="69"/>
      <c r="L29" s="69">
        <v>50000</v>
      </c>
      <c r="M29" s="69">
        <v>100000</v>
      </c>
      <c r="N29" s="68">
        <f t="shared" si="0"/>
        <v>2</v>
      </c>
    </row>
    <row r="30" spans="1:14">
      <c r="A30" s="87" t="s">
        <v>108</v>
      </c>
      <c r="B30" s="60"/>
      <c r="C30" s="60">
        <v>40000</v>
      </c>
      <c r="D30" s="60"/>
      <c r="E30" s="63">
        <v>150000</v>
      </c>
      <c r="F30" s="63">
        <v>120000</v>
      </c>
      <c r="G30" s="63"/>
      <c r="H30" s="65">
        <v>110000</v>
      </c>
      <c r="I30" s="65"/>
      <c r="J30" s="65">
        <v>90000</v>
      </c>
      <c r="K30" s="69">
        <v>50000</v>
      </c>
      <c r="L30" s="69">
        <v>120000</v>
      </c>
      <c r="M30" s="69">
        <v>50000</v>
      </c>
      <c r="N30" s="68">
        <f t="shared" si="0"/>
        <v>4</v>
      </c>
    </row>
    <row r="31" spans="1:14">
      <c r="A31" s="87" t="s">
        <v>109</v>
      </c>
      <c r="B31" s="60">
        <v>50000</v>
      </c>
      <c r="C31" s="60"/>
      <c r="D31" s="60">
        <v>130000</v>
      </c>
      <c r="E31" s="63">
        <v>50000</v>
      </c>
      <c r="F31" s="63">
        <v>50000</v>
      </c>
      <c r="G31" s="63">
        <v>50000</v>
      </c>
      <c r="H31" s="65"/>
      <c r="I31" s="65">
        <v>40000</v>
      </c>
      <c r="J31" s="65">
        <v>50000</v>
      </c>
      <c r="K31" s="69">
        <v>50000</v>
      </c>
      <c r="L31" s="69">
        <v>50000</v>
      </c>
      <c r="M31" s="69">
        <v>50000</v>
      </c>
      <c r="N31" s="68">
        <f t="shared" si="0"/>
        <v>2</v>
      </c>
    </row>
    <row r="32" spans="1:14">
      <c r="A32" s="87" t="s">
        <v>110</v>
      </c>
      <c r="B32" s="60"/>
      <c r="C32" s="60">
        <v>50000</v>
      </c>
      <c r="D32" s="60">
        <v>50000</v>
      </c>
      <c r="E32" s="63">
        <v>50000</v>
      </c>
      <c r="F32" s="63"/>
      <c r="G32" s="63">
        <v>50000</v>
      </c>
      <c r="H32" s="65">
        <v>50000</v>
      </c>
      <c r="I32" s="65"/>
      <c r="J32" s="65">
        <v>50000</v>
      </c>
      <c r="K32" s="69">
        <v>50000</v>
      </c>
      <c r="L32" s="69">
        <v>50000</v>
      </c>
      <c r="M32" s="69"/>
      <c r="N32" s="68">
        <f t="shared" si="0"/>
        <v>4</v>
      </c>
    </row>
    <row r="33" spans="1:14">
      <c r="A33" s="87" t="s">
        <v>111</v>
      </c>
      <c r="B33" s="60">
        <v>50000</v>
      </c>
      <c r="C33" s="60">
        <v>50000</v>
      </c>
      <c r="D33" s="60">
        <v>85000</v>
      </c>
      <c r="E33" s="63">
        <v>50000</v>
      </c>
      <c r="F33" s="63">
        <v>50000</v>
      </c>
      <c r="G33" s="63">
        <v>50000</v>
      </c>
      <c r="H33" s="65">
        <v>50000</v>
      </c>
      <c r="I33" s="65">
        <v>50000</v>
      </c>
      <c r="J33" s="65">
        <v>140000</v>
      </c>
      <c r="K33" s="69">
        <v>50000</v>
      </c>
      <c r="L33" s="69">
        <v>130000</v>
      </c>
      <c r="M33" s="69">
        <v>50000</v>
      </c>
      <c r="N33" s="68">
        <f t="shared" si="0"/>
        <v>0</v>
      </c>
    </row>
    <row r="34" spans="1:14">
      <c r="A34" s="87" t="s">
        <v>112</v>
      </c>
      <c r="B34" s="60"/>
      <c r="C34" s="60">
        <v>80000</v>
      </c>
      <c r="D34" s="60">
        <v>50000</v>
      </c>
      <c r="E34" s="63">
        <v>70000</v>
      </c>
      <c r="F34" s="63">
        <v>150000</v>
      </c>
      <c r="G34" s="63">
        <v>50000</v>
      </c>
      <c r="H34" s="65">
        <v>50000</v>
      </c>
      <c r="I34" s="65">
        <v>80000</v>
      </c>
      <c r="J34" s="65">
        <v>50000</v>
      </c>
      <c r="K34" s="69">
        <v>50000</v>
      </c>
      <c r="L34" s="69">
        <v>50000</v>
      </c>
      <c r="M34" s="69">
        <v>160000</v>
      </c>
      <c r="N34" s="68">
        <f t="shared" si="0"/>
        <v>1</v>
      </c>
    </row>
    <row r="35" spans="1:14">
      <c r="A35" s="87" t="s">
        <v>113</v>
      </c>
      <c r="B35" s="60">
        <v>100000</v>
      </c>
      <c r="C35" s="60">
        <v>50000</v>
      </c>
      <c r="D35" s="60">
        <v>70000</v>
      </c>
      <c r="E35" s="63">
        <v>50000</v>
      </c>
      <c r="F35" s="63"/>
      <c r="G35" s="63">
        <v>50000</v>
      </c>
      <c r="H35" s="65"/>
      <c r="I35" s="65">
        <v>50000</v>
      </c>
      <c r="J35" s="65">
        <v>50000</v>
      </c>
      <c r="K35" s="69">
        <v>50000</v>
      </c>
      <c r="L35" s="69">
        <v>50000</v>
      </c>
      <c r="M35" s="69">
        <v>50000</v>
      </c>
      <c r="N35" s="68">
        <f t="shared" si="0"/>
        <v>2</v>
      </c>
    </row>
    <row r="36" spans="1:14">
      <c r="A36" s="88" t="s">
        <v>31</v>
      </c>
      <c r="B36" s="60">
        <v>50000</v>
      </c>
      <c r="C36" s="61">
        <v>80000</v>
      </c>
      <c r="D36" s="61">
        <v>80000</v>
      </c>
      <c r="E36" s="63">
        <v>90000</v>
      </c>
      <c r="F36" s="63">
        <v>50000</v>
      </c>
      <c r="G36" s="63">
        <v>50000</v>
      </c>
      <c r="H36" s="66">
        <v>50000</v>
      </c>
      <c r="I36" s="65">
        <v>50000</v>
      </c>
      <c r="J36" s="66">
        <v>80000</v>
      </c>
      <c r="K36" s="69">
        <v>50000</v>
      </c>
      <c r="L36" s="69">
        <v>50000</v>
      </c>
      <c r="M36" s="69">
        <v>120000</v>
      </c>
      <c r="N36" s="68">
        <f t="shared" si="0"/>
        <v>0</v>
      </c>
    </row>
    <row r="37" spans="1:14">
      <c r="A37" s="88" t="s">
        <v>32</v>
      </c>
      <c r="B37" s="60">
        <v>100000</v>
      </c>
      <c r="C37" s="61">
        <v>50000</v>
      </c>
      <c r="D37" s="61"/>
      <c r="E37" s="63">
        <v>50000</v>
      </c>
      <c r="F37" s="63">
        <v>60000</v>
      </c>
      <c r="G37" s="63">
        <v>130000</v>
      </c>
      <c r="H37" s="66">
        <v>50000</v>
      </c>
      <c r="I37" s="65">
        <v>120000</v>
      </c>
      <c r="J37" s="66">
        <v>50000</v>
      </c>
      <c r="K37" s="69">
        <v>50000</v>
      </c>
      <c r="L37" s="69">
        <v>90000</v>
      </c>
      <c r="M37" s="69"/>
      <c r="N37" s="68">
        <f t="shared" si="0"/>
        <v>2</v>
      </c>
    </row>
    <row r="38" spans="1:14">
      <c r="A38" s="89" t="s">
        <v>279</v>
      </c>
      <c r="B38" s="60">
        <v>80000</v>
      </c>
      <c r="C38" s="62">
        <v>50000</v>
      </c>
      <c r="D38" s="62">
        <v>50000</v>
      </c>
      <c r="E38" s="63">
        <v>50000</v>
      </c>
      <c r="F38" s="63">
        <v>50000</v>
      </c>
      <c r="G38" s="63">
        <v>50000</v>
      </c>
      <c r="H38" s="66">
        <v>90000</v>
      </c>
      <c r="I38" s="65">
        <v>50000</v>
      </c>
      <c r="J38" s="66"/>
      <c r="K38" s="69">
        <v>40000</v>
      </c>
      <c r="L38" s="69">
        <v>100000</v>
      </c>
      <c r="M38" s="69"/>
      <c r="N38" s="68">
        <f t="shared" si="0"/>
        <v>2</v>
      </c>
    </row>
    <row r="39" spans="1:14">
      <c r="A39" s="88" t="s">
        <v>33</v>
      </c>
      <c r="B39" s="60"/>
      <c r="C39" s="61">
        <v>120000</v>
      </c>
      <c r="D39" s="61">
        <v>150000</v>
      </c>
      <c r="E39" s="63">
        <v>50000</v>
      </c>
      <c r="F39" s="63">
        <v>50000</v>
      </c>
      <c r="G39" s="63"/>
      <c r="H39" s="66">
        <v>50000</v>
      </c>
      <c r="I39" s="65">
        <v>50000</v>
      </c>
      <c r="J39" s="66"/>
      <c r="K39" s="69">
        <v>50000</v>
      </c>
      <c r="L39" s="69">
        <v>120000</v>
      </c>
      <c r="M39" s="69"/>
      <c r="N39" s="68">
        <f t="shared" si="0"/>
        <v>4</v>
      </c>
    </row>
    <row r="40" spans="1:14">
      <c r="A40" s="88" t="s">
        <v>34</v>
      </c>
      <c r="B40" s="60">
        <v>50000</v>
      </c>
      <c r="C40" s="61">
        <v>50000</v>
      </c>
      <c r="D40" s="61">
        <v>50000</v>
      </c>
      <c r="E40" s="63">
        <v>80000</v>
      </c>
      <c r="F40" s="63">
        <v>90000</v>
      </c>
      <c r="G40" s="63">
        <v>50000</v>
      </c>
      <c r="H40" s="66"/>
      <c r="I40" s="65">
        <v>130000</v>
      </c>
      <c r="J40" s="66">
        <v>50000</v>
      </c>
      <c r="K40" s="69">
        <v>50000</v>
      </c>
      <c r="L40" s="69"/>
      <c r="M40" s="69">
        <v>50000</v>
      </c>
      <c r="N40" s="68">
        <f t="shared" si="0"/>
        <v>2</v>
      </c>
    </row>
    <row r="41" spans="1:14">
      <c r="A41" s="88" t="s">
        <v>35</v>
      </c>
      <c r="B41" s="60">
        <v>40000</v>
      </c>
      <c r="C41" s="61">
        <v>50000</v>
      </c>
      <c r="D41" s="61">
        <v>50000</v>
      </c>
      <c r="E41" s="63">
        <v>50000</v>
      </c>
      <c r="F41" s="63">
        <v>90000</v>
      </c>
      <c r="G41" s="63">
        <v>50000</v>
      </c>
      <c r="H41" s="66">
        <v>50000</v>
      </c>
      <c r="I41" s="65">
        <v>50000</v>
      </c>
      <c r="J41" s="66">
        <v>50000</v>
      </c>
      <c r="K41" s="69">
        <v>90000</v>
      </c>
      <c r="L41" s="69"/>
      <c r="M41" s="69">
        <v>50000</v>
      </c>
      <c r="N41" s="68">
        <f t="shared" si="0"/>
        <v>1</v>
      </c>
    </row>
    <row r="42" spans="1:14">
      <c r="A42" s="89" t="s">
        <v>273</v>
      </c>
      <c r="B42" s="60"/>
      <c r="C42" s="62">
        <v>130000</v>
      </c>
      <c r="D42" s="62"/>
      <c r="E42" s="63">
        <v>50000</v>
      </c>
      <c r="F42" s="63">
        <v>50000</v>
      </c>
      <c r="G42" s="63">
        <v>50000</v>
      </c>
      <c r="H42" s="66">
        <v>50000</v>
      </c>
      <c r="I42" s="65">
        <v>50000</v>
      </c>
      <c r="J42" s="65">
        <v>50000</v>
      </c>
      <c r="K42" s="69"/>
      <c r="L42" s="69"/>
      <c r="M42" s="69">
        <v>50000</v>
      </c>
      <c r="N42" s="68">
        <f t="shared" si="0"/>
        <v>4</v>
      </c>
    </row>
    <row r="43" spans="1:14">
      <c r="A43" s="89" t="s">
        <v>282</v>
      </c>
      <c r="B43" s="60">
        <v>50000</v>
      </c>
      <c r="C43" s="62">
        <v>50000</v>
      </c>
      <c r="D43" s="62"/>
      <c r="E43" s="63">
        <v>120000</v>
      </c>
      <c r="F43" s="63">
        <v>50000</v>
      </c>
      <c r="G43" s="63">
        <v>90000</v>
      </c>
      <c r="H43" s="66">
        <v>150000</v>
      </c>
      <c r="I43" s="65">
        <v>50000</v>
      </c>
      <c r="J43" s="65">
        <v>50000</v>
      </c>
      <c r="K43" s="69">
        <v>130000</v>
      </c>
      <c r="L43" s="69">
        <v>50000</v>
      </c>
      <c r="M43" s="69">
        <v>50000</v>
      </c>
      <c r="N43" s="68">
        <f t="shared" si="0"/>
        <v>1</v>
      </c>
    </row>
    <row r="44" spans="1:14">
      <c r="A44" s="88" t="s">
        <v>36</v>
      </c>
      <c r="B44" s="60">
        <v>100000</v>
      </c>
      <c r="C44" s="61">
        <v>50000</v>
      </c>
      <c r="D44" s="61">
        <v>40000</v>
      </c>
      <c r="E44" s="63">
        <v>50000</v>
      </c>
      <c r="F44" s="64"/>
      <c r="G44" s="64"/>
      <c r="H44" s="66">
        <v>50000</v>
      </c>
      <c r="I44" s="65">
        <v>40000</v>
      </c>
      <c r="J44" s="65">
        <v>50000</v>
      </c>
      <c r="K44" s="69">
        <v>140000</v>
      </c>
      <c r="L44" s="69">
        <v>50000</v>
      </c>
      <c r="M44" s="69">
        <v>130000</v>
      </c>
      <c r="N44" s="68">
        <f t="shared" si="0"/>
        <v>2</v>
      </c>
    </row>
    <row r="45" spans="1:14">
      <c r="A45" s="88" t="s">
        <v>37</v>
      </c>
      <c r="B45" s="60"/>
      <c r="C45" s="61">
        <v>50000</v>
      </c>
      <c r="D45" s="61">
        <v>50000</v>
      </c>
      <c r="E45" s="63">
        <v>50000</v>
      </c>
      <c r="F45" s="64"/>
      <c r="G45" s="64"/>
      <c r="H45" s="67"/>
      <c r="I45" s="65">
        <v>50000</v>
      </c>
      <c r="J45" s="65">
        <v>40000</v>
      </c>
      <c r="K45" s="69">
        <v>150000</v>
      </c>
      <c r="L45" s="69">
        <v>50000</v>
      </c>
      <c r="M45" s="69">
        <v>50000</v>
      </c>
      <c r="N45" s="68">
        <f t="shared" si="0"/>
        <v>4</v>
      </c>
    </row>
    <row r="46" spans="1:14">
      <c r="A46" s="88" t="s">
        <v>38</v>
      </c>
      <c r="B46" s="60"/>
      <c r="C46" s="61">
        <v>140000</v>
      </c>
      <c r="D46" s="61">
        <v>50000</v>
      </c>
      <c r="E46" s="63">
        <v>50000</v>
      </c>
      <c r="F46" s="63">
        <v>40000</v>
      </c>
      <c r="G46" s="63">
        <v>50000</v>
      </c>
      <c r="H46" s="65">
        <v>50000</v>
      </c>
      <c r="I46" s="65">
        <v>50000</v>
      </c>
      <c r="J46" s="65">
        <v>50000</v>
      </c>
      <c r="K46" s="69">
        <v>160000</v>
      </c>
      <c r="L46" s="69">
        <v>50000</v>
      </c>
      <c r="M46" s="69">
        <v>50000</v>
      </c>
      <c r="N46" s="68">
        <f t="shared" si="0"/>
        <v>1</v>
      </c>
    </row>
    <row r="47" spans="1:14">
      <c r="A47" s="88" t="s">
        <v>39</v>
      </c>
      <c r="B47" s="60">
        <v>80000</v>
      </c>
      <c r="C47" s="61">
        <v>50000</v>
      </c>
      <c r="D47" s="61">
        <v>50000</v>
      </c>
      <c r="E47" s="63">
        <v>120000</v>
      </c>
      <c r="F47" s="63"/>
      <c r="G47" s="63">
        <v>50000</v>
      </c>
      <c r="H47" s="65">
        <v>50000</v>
      </c>
      <c r="I47" s="65">
        <v>90000</v>
      </c>
      <c r="J47" s="65">
        <v>50000</v>
      </c>
      <c r="K47" s="69">
        <v>180000</v>
      </c>
      <c r="L47" s="69"/>
      <c r="M47" s="69">
        <v>50000</v>
      </c>
      <c r="N47" s="68">
        <f t="shared" si="0"/>
        <v>2</v>
      </c>
    </row>
    <row r="48" spans="1:14">
      <c r="A48" s="89" t="s">
        <v>285</v>
      </c>
      <c r="B48" s="60">
        <v>70000</v>
      </c>
      <c r="C48" s="62">
        <v>50000</v>
      </c>
      <c r="D48" s="62"/>
      <c r="E48" s="63">
        <v>50000</v>
      </c>
      <c r="F48" s="63">
        <v>50000</v>
      </c>
      <c r="G48" s="63">
        <v>140000</v>
      </c>
      <c r="H48" s="65">
        <v>50000</v>
      </c>
      <c r="I48" s="65"/>
      <c r="J48" s="65">
        <v>50000</v>
      </c>
      <c r="K48" s="69">
        <v>40000</v>
      </c>
      <c r="L48" s="69"/>
      <c r="M48" s="69">
        <v>50000</v>
      </c>
      <c r="N48" s="68">
        <f t="shared" si="0"/>
        <v>3</v>
      </c>
    </row>
    <row r="49" spans="1:14">
      <c r="A49" s="89" t="s">
        <v>276</v>
      </c>
      <c r="B49" s="60">
        <v>50000</v>
      </c>
      <c r="C49" s="61">
        <v>50000</v>
      </c>
      <c r="D49" s="62">
        <v>50000</v>
      </c>
      <c r="E49" s="63">
        <v>50000</v>
      </c>
      <c r="F49" s="63"/>
      <c r="G49" s="63"/>
      <c r="H49" s="65"/>
      <c r="I49" s="65">
        <v>130000</v>
      </c>
      <c r="J49" s="65">
        <v>50000</v>
      </c>
      <c r="K49" s="69">
        <v>50000</v>
      </c>
      <c r="L49" s="69">
        <v>50000</v>
      </c>
      <c r="M49" s="69">
        <v>50000</v>
      </c>
      <c r="N49" s="68">
        <f t="shared" si="0"/>
        <v>3</v>
      </c>
    </row>
    <row r="50" spans="1:14">
      <c r="A50" s="88" t="s">
        <v>40</v>
      </c>
      <c r="B50" s="60">
        <v>50000</v>
      </c>
      <c r="C50" s="61">
        <v>50000</v>
      </c>
      <c r="D50" s="61">
        <v>50000</v>
      </c>
      <c r="E50" s="63">
        <v>130000</v>
      </c>
      <c r="F50" s="64">
        <v>150000</v>
      </c>
      <c r="G50" s="63">
        <v>50000</v>
      </c>
      <c r="H50" s="65">
        <v>50000</v>
      </c>
      <c r="I50" s="65">
        <v>140000</v>
      </c>
      <c r="J50" s="65">
        <v>50000</v>
      </c>
      <c r="K50" s="69">
        <v>60000</v>
      </c>
      <c r="L50" s="69">
        <v>50000</v>
      </c>
      <c r="M50" s="69">
        <v>50000</v>
      </c>
      <c r="N50" s="68">
        <f t="shared" si="0"/>
        <v>0</v>
      </c>
    </row>
    <row r="51" spans="1:14">
      <c r="A51" s="89" t="s">
        <v>278</v>
      </c>
      <c r="B51" s="60">
        <v>100000</v>
      </c>
      <c r="C51" s="62"/>
      <c r="D51" s="62">
        <v>50000</v>
      </c>
      <c r="E51" s="63">
        <v>50000</v>
      </c>
      <c r="F51" s="64">
        <v>50000</v>
      </c>
      <c r="G51" s="63">
        <v>80000</v>
      </c>
      <c r="H51" s="65">
        <v>90000</v>
      </c>
      <c r="I51" s="66">
        <v>90000</v>
      </c>
      <c r="J51" s="65">
        <v>130000</v>
      </c>
      <c r="K51" s="69"/>
      <c r="L51" s="69"/>
      <c r="M51" s="69"/>
      <c r="N51" s="68">
        <f t="shared" si="0"/>
        <v>4</v>
      </c>
    </row>
    <row r="52" spans="1:14">
      <c r="A52" s="89" t="s">
        <v>275</v>
      </c>
      <c r="B52" s="60"/>
      <c r="C52" s="62"/>
      <c r="D52" s="62"/>
      <c r="E52" s="63">
        <v>50000</v>
      </c>
      <c r="F52" s="64">
        <v>50000</v>
      </c>
      <c r="G52" s="63">
        <v>50000</v>
      </c>
      <c r="H52" s="65">
        <v>90000</v>
      </c>
      <c r="I52" s="66">
        <v>50000</v>
      </c>
      <c r="J52" s="65">
        <v>50000</v>
      </c>
      <c r="K52" s="69"/>
      <c r="L52" s="69"/>
      <c r="M52" s="69"/>
      <c r="N52" s="68">
        <f t="shared" si="0"/>
        <v>6</v>
      </c>
    </row>
    <row r="53" spans="1:14">
      <c r="A53" s="88" t="s">
        <v>41</v>
      </c>
      <c r="B53" s="60"/>
      <c r="C53" s="61">
        <v>40000</v>
      </c>
      <c r="D53" s="61"/>
      <c r="E53" s="63">
        <v>50000</v>
      </c>
      <c r="F53" s="63"/>
      <c r="G53" s="63">
        <v>50000</v>
      </c>
      <c r="H53" s="65">
        <v>50000</v>
      </c>
      <c r="I53" s="66"/>
      <c r="J53" s="65"/>
      <c r="K53" s="69">
        <v>40000</v>
      </c>
      <c r="L53" s="69"/>
      <c r="M53" s="69">
        <v>50000</v>
      </c>
      <c r="N53" s="68">
        <f t="shared" si="0"/>
        <v>6</v>
      </c>
    </row>
    <row r="54" spans="1:14">
      <c r="A54" s="89" t="s">
        <v>281</v>
      </c>
      <c r="B54" s="60">
        <v>80000</v>
      </c>
      <c r="C54" s="61">
        <v>50000</v>
      </c>
      <c r="D54" s="62"/>
      <c r="E54" s="63"/>
      <c r="F54" s="63"/>
      <c r="G54" s="63">
        <v>120000</v>
      </c>
      <c r="H54" s="65">
        <v>50000</v>
      </c>
      <c r="I54" s="66">
        <v>50000</v>
      </c>
      <c r="J54" s="65">
        <v>50000</v>
      </c>
      <c r="K54" s="69">
        <v>50000</v>
      </c>
      <c r="L54" s="69">
        <v>50000</v>
      </c>
      <c r="M54" s="69">
        <v>50000</v>
      </c>
      <c r="N54" s="68">
        <f t="shared" si="0"/>
        <v>3</v>
      </c>
    </row>
    <row r="55" spans="1:14">
      <c r="A55" s="89" t="s">
        <v>267</v>
      </c>
      <c r="B55" s="60">
        <v>70000</v>
      </c>
      <c r="C55" s="62">
        <v>130000</v>
      </c>
      <c r="D55" s="61">
        <v>150000</v>
      </c>
      <c r="E55" s="63">
        <v>50000</v>
      </c>
      <c r="F55" s="64">
        <v>40000</v>
      </c>
      <c r="G55" s="63"/>
      <c r="H55" s="67"/>
      <c r="I55" s="66">
        <v>50000</v>
      </c>
      <c r="J55" s="65">
        <v>50000</v>
      </c>
      <c r="K55" s="69">
        <v>60000</v>
      </c>
      <c r="L55" s="69"/>
      <c r="M55" s="69">
        <v>50000</v>
      </c>
      <c r="N55" s="68">
        <f t="shared" si="0"/>
        <v>3</v>
      </c>
    </row>
    <row r="56" spans="1:14">
      <c r="A56" s="59"/>
    </row>
    <row r="57" spans="1:14">
      <c r="B57" s="70" t="s">
        <v>150</v>
      </c>
      <c r="C57" s="70" t="s">
        <v>149</v>
      </c>
      <c r="D57" s="70" t="s">
        <v>148</v>
      </c>
      <c r="E57" s="71" t="s">
        <v>147</v>
      </c>
      <c r="F57" s="71" t="s">
        <v>146</v>
      </c>
      <c r="G57" s="71" t="s">
        <v>145</v>
      </c>
      <c r="H57" s="72" t="s">
        <v>144</v>
      </c>
      <c r="I57" s="72" t="s">
        <v>143</v>
      </c>
      <c r="J57" s="72" t="s">
        <v>142</v>
      </c>
      <c r="K57" s="54" t="s">
        <v>141</v>
      </c>
      <c r="L57" s="54" t="s">
        <v>140</v>
      </c>
      <c r="M57" s="54" t="s">
        <v>139</v>
      </c>
    </row>
    <row r="58" spans="1:14">
      <c r="A58" s="90" t="s">
        <v>482</v>
      </c>
      <c r="B58" s="5">
        <f>COUNTBLANK(B6:B55)</f>
        <v>16</v>
      </c>
      <c r="C58" s="5">
        <f t="shared" ref="C58:M58" si="1">COUNTBLANK(C6:C55)</f>
        <v>8</v>
      </c>
      <c r="D58" s="5">
        <f t="shared" si="1"/>
        <v>13</v>
      </c>
      <c r="E58" s="5">
        <f t="shared" si="1"/>
        <v>1</v>
      </c>
      <c r="F58" s="5">
        <f t="shared" si="1"/>
        <v>12</v>
      </c>
      <c r="G58" s="5">
        <f t="shared" si="1"/>
        <v>11</v>
      </c>
      <c r="H58" s="5">
        <f t="shared" si="1"/>
        <v>10</v>
      </c>
      <c r="I58" s="5">
        <f t="shared" si="1"/>
        <v>14</v>
      </c>
      <c r="J58" s="5">
        <f t="shared" si="1"/>
        <v>3</v>
      </c>
      <c r="K58" s="5">
        <f t="shared" si="1"/>
        <v>11</v>
      </c>
      <c r="L58" s="5">
        <f t="shared" si="1"/>
        <v>13</v>
      </c>
      <c r="M58" s="5">
        <f t="shared" si="1"/>
        <v>8</v>
      </c>
    </row>
    <row r="59" spans="1:14">
      <c r="A59" s="90" t="s">
        <v>287</v>
      </c>
      <c r="B59" s="5">
        <f>COUNT(B6:B55)</f>
        <v>34</v>
      </c>
      <c r="C59" s="5">
        <f t="shared" ref="C59:M59" si="2">COUNT(C6:C55)</f>
        <v>42</v>
      </c>
      <c r="D59" s="5">
        <f t="shared" si="2"/>
        <v>37</v>
      </c>
      <c r="E59" s="5">
        <f t="shared" si="2"/>
        <v>49</v>
      </c>
      <c r="F59" s="5">
        <f t="shared" si="2"/>
        <v>38</v>
      </c>
      <c r="G59" s="5">
        <f t="shared" si="2"/>
        <v>39</v>
      </c>
      <c r="H59" s="5">
        <f t="shared" si="2"/>
        <v>40</v>
      </c>
      <c r="I59" s="5">
        <f t="shared" si="2"/>
        <v>36</v>
      </c>
      <c r="J59" s="5">
        <f t="shared" si="2"/>
        <v>47</v>
      </c>
      <c r="K59" s="5">
        <f t="shared" si="2"/>
        <v>39</v>
      </c>
      <c r="L59" s="5">
        <f t="shared" si="2"/>
        <v>37</v>
      </c>
      <c r="M59" s="5">
        <f t="shared" si="2"/>
        <v>42</v>
      </c>
    </row>
    <row r="60" spans="1:14">
      <c r="A60" s="91" t="s">
        <v>288</v>
      </c>
      <c r="B60" s="303">
        <f>SUM(B6:B55)</f>
        <v>2415000</v>
      </c>
      <c r="C60" s="303">
        <f t="shared" ref="C60:M60" si="3">SUM(C6:C55)</f>
        <v>2840000</v>
      </c>
      <c r="D60" s="303">
        <f t="shared" si="3"/>
        <v>2410000</v>
      </c>
      <c r="E60" s="303">
        <f t="shared" si="3"/>
        <v>3210000</v>
      </c>
      <c r="F60" s="303">
        <f t="shared" si="3"/>
        <v>2686000</v>
      </c>
      <c r="G60" s="303">
        <f t="shared" si="3"/>
        <v>2660000</v>
      </c>
      <c r="H60" s="303">
        <f t="shared" si="3"/>
        <v>3460000</v>
      </c>
      <c r="I60" s="303">
        <f t="shared" si="3"/>
        <v>2555000</v>
      </c>
      <c r="J60" s="303">
        <f t="shared" si="3"/>
        <v>3650000</v>
      </c>
      <c r="K60" s="303">
        <f t="shared" si="3"/>
        <v>2490000</v>
      </c>
      <c r="L60" s="303">
        <f t="shared" si="3"/>
        <v>2310000</v>
      </c>
      <c r="M60" s="303">
        <f t="shared" si="3"/>
        <v>2930000</v>
      </c>
    </row>
    <row r="62" spans="1:14">
      <c r="A62" s="92" t="s">
        <v>252</v>
      </c>
      <c r="B62" s="304">
        <f>SUM(B60:M60)</f>
        <v>33616000</v>
      </c>
      <c r="C62" s="183"/>
      <c r="D62" s="40"/>
    </row>
    <row r="63" spans="1:14">
      <c r="A63" s="92" t="s">
        <v>253</v>
      </c>
      <c r="B63" s="183">
        <f>SUM(B59:M59)</f>
        <v>480</v>
      </c>
      <c r="C63" s="183"/>
      <c r="D63" s="40"/>
    </row>
    <row r="64" spans="1:14">
      <c r="A64" s="92" t="s">
        <v>254</v>
      </c>
      <c r="B64" s="183">
        <f>SUM(N6:N55)</f>
        <v>120</v>
      </c>
      <c r="C64" s="183"/>
      <c r="D64" s="40"/>
    </row>
    <row r="65" spans="1:4">
      <c r="A65" s="92" t="s">
        <v>255</v>
      </c>
      <c r="B65" s="183">
        <f>COUNTA(A6:A55)</f>
        <v>50</v>
      </c>
      <c r="C65" s="183"/>
      <c r="D65" s="40"/>
    </row>
  </sheetData>
  <mergeCells count="10">
    <mergeCell ref="N4:N5"/>
    <mergeCell ref="B62:C62"/>
    <mergeCell ref="B63:C63"/>
    <mergeCell ref="B64:C64"/>
    <mergeCell ref="B65:C65"/>
    <mergeCell ref="A1:M1"/>
    <mergeCell ref="A2:M2"/>
    <mergeCell ref="B4:M4"/>
    <mergeCell ref="A4:A5"/>
    <mergeCell ref="B3:D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workbookViewId="0">
      <selection activeCell="F12" sqref="F12"/>
    </sheetView>
  </sheetViews>
  <sheetFormatPr baseColWidth="10" defaultRowHeight="15"/>
  <cols>
    <col min="1" max="1" width="8.5703125" customWidth="1"/>
    <col min="2" max="2" width="11.5703125" customWidth="1"/>
    <col min="3" max="3" width="9" bestFit="1" customWidth="1"/>
    <col min="4" max="4" width="22.5703125" bestFit="1" customWidth="1"/>
    <col min="5" max="5" width="19.42578125" bestFit="1" customWidth="1"/>
    <col min="6" max="6" width="32" customWidth="1"/>
  </cols>
  <sheetData>
    <row r="1" spans="1:6">
      <c r="A1" s="34" t="s">
        <v>496</v>
      </c>
    </row>
    <row r="2" spans="1:6" ht="15.75" thickBot="1"/>
    <row r="3" spans="1:6" ht="15.75" thickBot="1">
      <c r="B3" s="185" t="s">
        <v>233</v>
      </c>
      <c r="C3" s="186"/>
    </row>
    <row r="4" spans="1:6" ht="15.75" thickBot="1">
      <c r="B4" s="187">
        <f>COUNTA(A8:A37)</f>
        <v>30</v>
      </c>
      <c r="C4" s="188"/>
    </row>
    <row r="6" spans="1:6" ht="23.25">
      <c r="A6" s="184" t="s">
        <v>232</v>
      </c>
      <c r="B6" s="184"/>
      <c r="C6" s="184"/>
      <c r="D6" s="184"/>
      <c r="E6" s="184"/>
      <c r="F6" s="184"/>
    </row>
    <row r="7" spans="1:6">
      <c r="A7" s="136" t="s">
        <v>231</v>
      </c>
      <c r="B7" s="136" t="s">
        <v>230</v>
      </c>
      <c r="C7" s="136" t="s">
        <v>153</v>
      </c>
      <c r="D7" s="136" t="s">
        <v>229</v>
      </c>
      <c r="E7" s="136" t="s">
        <v>228</v>
      </c>
      <c r="F7" s="136" t="s">
        <v>227</v>
      </c>
    </row>
    <row r="8" spans="1:6">
      <c r="A8" s="5" t="s">
        <v>226</v>
      </c>
      <c r="B8" s="5" t="s">
        <v>225</v>
      </c>
      <c r="C8" s="5" t="s">
        <v>224</v>
      </c>
      <c r="D8" s="5" t="s">
        <v>167</v>
      </c>
      <c r="E8" s="5" t="str">
        <f>CONCATENATE(B8," ",C8)</f>
        <v>Vega Patricia</v>
      </c>
      <c r="F8" s="5" t="str">
        <f>CONCATENATE(A8," ",D8)</f>
        <v>A-101 Secretaria Ejecutiva</v>
      </c>
    </row>
    <row r="9" spans="1:6">
      <c r="A9" s="5" t="s">
        <v>223</v>
      </c>
      <c r="B9" s="5" t="s">
        <v>222</v>
      </c>
      <c r="C9" s="5" t="s">
        <v>221</v>
      </c>
      <c r="D9" s="5" t="s">
        <v>220</v>
      </c>
      <c r="E9" s="5" t="str">
        <f t="shared" ref="E9:E37" si="0">CONCATENATE(B9," ",C9)</f>
        <v>Quiroz Tania</v>
      </c>
      <c r="F9" s="5" t="str">
        <f t="shared" ref="F9:F37" si="1">CONCATENATE(A9," ",D9)</f>
        <v>A-202 Jefe de Marketing</v>
      </c>
    </row>
    <row r="10" spans="1:6">
      <c r="A10" s="5" t="s">
        <v>219</v>
      </c>
      <c r="B10" s="5" t="s">
        <v>218</v>
      </c>
      <c r="C10" s="5" t="s">
        <v>217</v>
      </c>
      <c r="D10" s="5" t="s">
        <v>182</v>
      </c>
      <c r="E10" s="5" t="str">
        <f t="shared" si="0"/>
        <v>Cortés Milagros</v>
      </c>
      <c r="F10" s="5" t="str">
        <f t="shared" si="1"/>
        <v>A-203 Auxiliar de Contabilidad</v>
      </c>
    </row>
    <row r="11" spans="1:6">
      <c r="A11" s="5" t="s">
        <v>216</v>
      </c>
      <c r="B11" s="5" t="s">
        <v>215</v>
      </c>
      <c r="C11" s="5" t="s">
        <v>214</v>
      </c>
      <c r="D11" s="5" t="s">
        <v>213</v>
      </c>
      <c r="E11" s="5" t="str">
        <f t="shared" si="0"/>
        <v>Canepa Rocío</v>
      </c>
      <c r="F11" s="5" t="str">
        <f t="shared" si="1"/>
        <v>A-104 Jefe de Almacen</v>
      </c>
    </row>
    <row r="12" spans="1:6">
      <c r="A12" s="5" t="s">
        <v>212</v>
      </c>
      <c r="B12" s="5" t="s">
        <v>211</v>
      </c>
      <c r="C12" s="5" t="s">
        <v>210</v>
      </c>
      <c r="D12" s="5" t="s">
        <v>209</v>
      </c>
      <c r="E12" s="5" t="str">
        <f t="shared" si="0"/>
        <v>Ccance Juan</v>
      </c>
      <c r="F12" s="5" t="str">
        <f t="shared" si="1"/>
        <v>A-105 Jefe de Computo</v>
      </c>
    </row>
    <row r="13" spans="1:6">
      <c r="A13" s="5" t="s">
        <v>208</v>
      </c>
      <c r="B13" s="5" t="s">
        <v>207</v>
      </c>
      <c r="C13" s="5" t="s">
        <v>186</v>
      </c>
      <c r="D13" s="5" t="s">
        <v>206</v>
      </c>
      <c r="E13" s="5" t="str">
        <f t="shared" si="0"/>
        <v>Soto Jorge</v>
      </c>
      <c r="F13" s="5" t="str">
        <f t="shared" si="1"/>
        <v>B-101 Asistente de Finanzas</v>
      </c>
    </row>
    <row r="14" spans="1:6">
      <c r="A14" s="5" t="s">
        <v>205</v>
      </c>
      <c r="B14" s="5" t="s">
        <v>204</v>
      </c>
      <c r="C14" s="5" t="s">
        <v>203</v>
      </c>
      <c r="D14" s="5" t="s">
        <v>202</v>
      </c>
      <c r="E14" s="5" t="str">
        <f t="shared" si="0"/>
        <v>Cortez Marina</v>
      </c>
      <c r="F14" s="5" t="str">
        <f t="shared" si="1"/>
        <v>B-202 Jefe de Finanzas</v>
      </c>
    </row>
    <row r="15" spans="1:6">
      <c r="A15" s="5" t="s">
        <v>201</v>
      </c>
      <c r="B15" s="5" t="s">
        <v>200</v>
      </c>
      <c r="C15" s="5" t="s">
        <v>199</v>
      </c>
      <c r="D15" s="5" t="s">
        <v>163</v>
      </c>
      <c r="E15" s="5" t="str">
        <f t="shared" si="0"/>
        <v>Huamani Ángel</v>
      </c>
      <c r="F15" s="5" t="str">
        <f t="shared" si="1"/>
        <v>B-203 Programador</v>
      </c>
    </row>
    <row r="16" spans="1:6">
      <c r="A16" s="5" t="s">
        <v>198</v>
      </c>
      <c r="B16" s="5" t="s">
        <v>197</v>
      </c>
      <c r="C16" s="5" t="s">
        <v>196</v>
      </c>
      <c r="D16" s="5" t="s">
        <v>195</v>
      </c>
      <c r="E16" s="5" t="str">
        <f t="shared" si="0"/>
        <v>Carpió Miguel</v>
      </c>
      <c r="F16" s="5" t="str">
        <f t="shared" si="1"/>
        <v>B-104 Analista de Sistemas</v>
      </c>
    </row>
    <row r="17" spans="1:6">
      <c r="A17" s="5" t="s">
        <v>194</v>
      </c>
      <c r="B17" s="5" t="s">
        <v>193</v>
      </c>
      <c r="C17" s="5" t="s">
        <v>192</v>
      </c>
      <c r="D17" s="5" t="s">
        <v>155</v>
      </c>
      <c r="E17" s="5" t="str">
        <f t="shared" si="0"/>
        <v>Oconor Julia</v>
      </c>
      <c r="F17" s="5" t="str">
        <f t="shared" si="1"/>
        <v>B-105 Secretaria</v>
      </c>
    </row>
    <row r="18" spans="1:6">
      <c r="A18" s="5" t="s">
        <v>191</v>
      </c>
      <c r="B18" s="5" t="s">
        <v>190</v>
      </c>
      <c r="C18" s="5" t="s">
        <v>189</v>
      </c>
      <c r="D18" s="5" t="s">
        <v>175</v>
      </c>
      <c r="E18" s="5" t="str">
        <f t="shared" si="0"/>
        <v>Montes Andrés</v>
      </c>
      <c r="F18" s="5" t="str">
        <f t="shared" si="1"/>
        <v>C-101 Digitador</v>
      </c>
    </row>
    <row r="19" spans="1:6">
      <c r="A19" s="5" t="s">
        <v>188</v>
      </c>
      <c r="B19" s="5" t="s">
        <v>187</v>
      </c>
      <c r="C19" s="5" t="s">
        <v>186</v>
      </c>
      <c r="D19" s="5" t="s">
        <v>163</v>
      </c>
      <c r="E19" s="5" t="str">
        <f t="shared" si="0"/>
        <v>Sánchez Jorge</v>
      </c>
      <c r="F19" s="5" t="str">
        <f t="shared" si="1"/>
        <v>C-202 Programador</v>
      </c>
    </row>
    <row r="20" spans="1:6">
      <c r="A20" s="5" t="s">
        <v>185</v>
      </c>
      <c r="B20" s="5" t="s">
        <v>184</v>
      </c>
      <c r="C20" s="5" t="s">
        <v>183</v>
      </c>
      <c r="D20" s="5" t="s">
        <v>182</v>
      </c>
      <c r="E20" s="5" t="str">
        <f t="shared" si="0"/>
        <v>Nuñez Ana</v>
      </c>
      <c r="F20" s="5" t="str">
        <f t="shared" si="1"/>
        <v>C-203 Auxiliar de Contabilidad</v>
      </c>
    </row>
    <row r="21" spans="1:6">
      <c r="A21" s="5" t="s">
        <v>181</v>
      </c>
      <c r="B21" s="5" t="s">
        <v>180</v>
      </c>
      <c r="C21" s="5" t="s">
        <v>179</v>
      </c>
      <c r="D21" s="5" t="s">
        <v>175</v>
      </c>
      <c r="E21" s="5" t="str">
        <f t="shared" si="0"/>
        <v>Garcia Felipe</v>
      </c>
      <c r="F21" s="5" t="str">
        <f t="shared" si="1"/>
        <v>C-104 Digitador</v>
      </c>
    </row>
    <row r="22" spans="1:6">
      <c r="A22" s="5" t="s">
        <v>178</v>
      </c>
      <c r="B22" s="5" t="s">
        <v>177</v>
      </c>
      <c r="C22" s="5" t="s">
        <v>176</v>
      </c>
      <c r="D22" s="5" t="s">
        <v>175</v>
      </c>
      <c r="E22" s="5" t="str">
        <f t="shared" si="0"/>
        <v>Ruiz Richard</v>
      </c>
      <c r="F22" s="5" t="str">
        <f t="shared" si="1"/>
        <v>C-105 Digitador</v>
      </c>
    </row>
    <row r="23" spans="1:6">
      <c r="A23" s="5" t="s">
        <v>174</v>
      </c>
      <c r="B23" s="5" t="s">
        <v>173</v>
      </c>
      <c r="C23" s="5" t="s">
        <v>172</v>
      </c>
      <c r="D23" s="5" t="s">
        <v>171</v>
      </c>
      <c r="E23" s="5" t="str">
        <f t="shared" si="0"/>
        <v>Pajuelo Teofilo</v>
      </c>
      <c r="F23" s="5" t="str">
        <f t="shared" si="1"/>
        <v>D-101 Jefe de Producción</v>
      </c>
    </row>
    <row r="24" spans="1:6">
      <c r="A24" s="5" t="s">
        <v>170</v>
      </c>
      <c r="B24" s="5" t="s">
        <v>169</v>
      </c>
      <c r="C24" s="5" t="s">
        <v>168</v>
      </c>
      <c r="D24" s="5" t="s">
        <v>167</v>
      </c>
      <c r="E24" s="5" t="str">
        <f t="shared" si="0"/>
        <v>Llerena Luisa</v>
      </c>
      <c r="F24" s="5" t="str">
        <f t="shared" si="1"/>
        <v>D-202 Secretaria Ejecutiva</v>
      </c>
    </row>
    <row r="25" spans="1:6">
      <c r="A25" s="5" t="s">
        <v>166</v>
      </c>
      <c r="B25" s="5" t="s">
        <v>165</v>
      </c>
      <c r="C25" s="5" t="s">
        <v>164</v>
      </c>
      <c r="D25" s="5" t="s">
        <v>163</v>
      </c>
      <c r="E25" s="5" t="str">
        <f t="shared" si="0"/>
        <v>Carranza José</v>
      </c>
      <c r="F25" s="5" t="str">
        <f t="shared" si="1"/>
        <v>D-203 Programador</v>
      </c>
    </row>
    <row r="26" spans="1:6">
      <c r="A26" s="5" t="s">
        <v>162</v>
      </c>
      <c r="B26" s="5" t="s">
        <v>161</v>
      </c>
      <c r="C26" s="5" t="s">
        <v>160</v>
      </c>
      <c r="D26" s="5" t="s">
        <v>159</v>
      </c>
      <c r="E26" s="5" t="str">
        <f t="shared" si="0"/>
        <v>Castro Carlos</v>
      </c>
      <c r="F26" s="5" t="str">
        <f t="shared" si="1"/>
        <v>D-104 Contador</v>
      </c>
    </row>
    <row r="27" spans="1:6">
      <c r="A27" s="5" t="s">
        <v>158</v>
      </c>
      <c r="B27" s="5" t="s">
        <v>157</v>
      </c>
      <c r="C27" s="5" t="s">
        <v>156</v>
      </c>
      <c r="D27" s="5" t="s">
        <v>155</v>
      </c>
      <c r="E27" s="5" t="str">
        <f t="shared" si="0"/>
        <v>Meneses Mirla</v>
      </c>
      <c r="F27" s="5" t="str">
        <f t="shared" si="1"/>
        <v>D-105 Secretaria</v>
      </c>
    </row>
    <row r="28" spans="1:6">
      <c r="A28" s="73" t="s">
        <v>318</v>
      </c>
      <c r="B28" s="73" t="s">
        <v>323</v>
      </c>
      <c r="C28" s="73" t="s">
        <v>183</v>
      </c>
      <c r="D28" s="5" t="s">
        <v>175</v>
      </c>
      <c r="E28" s="5" t="str">
        <f t="shared" si="0"/>
        <v>Perez Ana</v>
      </c>
      <c r="F28" s="5" t="str">
        <f t="shared" si="1"/>
        <v>E-101 Digitador</v>
      </c>
    </row>
    <row r="29" spans="1:6">
      <c r="A29" s="73" t="s">
        <v>319</v>
      </c>
      <c r="B29" s="73" t="s">
        <v>324</v>
      </c>
      <c r="C29" s="73" t="s">
        <v>328</v>
      </c>
      <c r="D29" s="5" t="s">
        <v>171</v>
      </c>
      <c r="E29" s="5" t="str">
        <f t="shared" si="0"/>
        <v>Velez Jaime</v>
      </c>
      <c r="F29" s="5" t="str">
        <f t="shared" si="1"/>
        <v>E-102 Jefe de Producción</v>
      </c>
    </row>
    <row r="30" spans="1:6">
      <c r="A30" s="73" t="s">
        <v>320</v>
      </c>
      <c r="B30" s="73" t="s">
        <v>325</v>
      </c>
      <c r="C30" s="73" t="s">
        <v>168</v>
      </c>
      <c r="D30" s="5" t="s">
        <v>167</v>
      </c>
      <c r="E30" s="5" t="str">
        <f t="shared" si="0"/>
        <v>Arrieta Luisa</v>
      </c>
      <c r="F30" s="5" t="str">
        <f t="shared" si="1"/>
        <v>E-103 Secretaria Ejecutiva</v>
      </c>
    </row>
    <row r="31" spans="1:6">
      <c r="A31" s="73" t="s">
        <v>321</v>
      </c>
      <c r="B31" s="73" t="s">
        <v>326</v>
      </c>
      <c r="C31" s="73" t="s">
        <v>329</v>
      </c>
      <c r="D31" s="5" t="s">
        <v>163</v>
      </c>
      <c r="E31" s="5" t="str">
        <f t="shared" si="0"/>
        <v>Barbarán Carmen</v>
      </c>
      <c r="F31" s="5" t="str">
        <f t="shared" si="1"/>
        <v>E-104 Programador</v>
      </c>
    </row>
    <row r="32" spans="1:6">
      <c r="A32" s="73" t="s">
        <v>322</v>
      </c>
      <c r="B32" s="73" t="s">
        <v>327</v>
      </c>
      <c r="C32" s="73" t="s">
        <v>330</v>
      </c>
      <c r="D32" s="5" t="s">
        <v>159</v>
      </c>
      <c r="E32" s="5" t="str">
        <f t="shared" si="0"/>
        <v>Castaño Rosa</v>
      </c>
      <c r="F32" s="5" t="str">
        <f t="shared" si="1"/>
        <v>E-105 Contador</v>
      </c>
    </row>
    <row r="33" spans="1:6">
      <c r="A33" s="73" t="s">
        <v>331</v>
      </c>
      <c r="B33" s="73" t="s">
        <v>336</v>
      </c>
      <c r="C33" s="73" t="s">
        <v>342</v>
      </c>
      <c r="D33" s="5" t="s">
        <v>213</v>
      </c>
      <c r="E33" s="5" t="str">
        <f t="shared" si="0"/>
        <v>Blanco Nicolas</v>
      </c>
      <c r="F33" s="5" t="str">
        <f t="shared" si="1"/>
        <v>F-101 Jefe de Almacen</v>
      </c>
    </row>
    <row r="34" spans="1:6">
      <c r="A34" s="73" t="s">
        <v>332</v>
      </c>
      <c r="B34" s="73" t="s">
        <v>337</v>
      </c>
      <c r="C34" s="5" t="s">
        <v>183</v>
      </c>
      <c r="D34" s="5" t="s">
        <v>209</v>
      </c>
      <c r="E34" s="5" t="str">
        <f t="shared" si="0"/>
        <v>Tapias Ana</v>
      </c>
      <c r="F34" s="5" t="str">
        <f t="shared" si="1"/>
        <v>F-102 Jefe de Computo</v>
      </c>
    </row>
    <row r="35" spans="1:6">
      <c r="A35" s="73" t="s">
        <v>333</v>
      </c>
      <c r="B35" s="73" t="s">
        <v>338</v>
      </c>
      <c r="C35" s="5" t="s">
        <v>341</v>
      </c>
      <c r="D35" s="5" t="s">
        <v>206</v>
      </c>
      <c r="E35" s="5" t="str">
        <f t="shared" si="0"/>
        <v>Quintana Adrian</v>
      </c>
      <c r="F35" s="5" t="str">
        <f t="shared" si="1"/>
        <v>F-103 Asistente de Finanzas</v>
      </c>
    </row>
    <row r="36" spans="1:6">
      <c r="A36" s="73" t="s">
        <v>334</v>
      </c>
      <c r="B36" s="73" t="s">
        <v>239</v>
      </c>
      <c r="C36" s="5" t="s">
        <v>340</v>
      </c>
      <c r="D36" s="5" t="s">
        <v>202</v>
      </c>
      <c r="E36" s="5" t="str">
        <f t="shared" si="0"/>
        <v>Julio Elizabeth</v>
      </c>
      <c r="F36" s="5" t="str">
        <f t="shared" si="1"/>
        <v>F-104 Jefe de Finanzas</v>
      </c>
    </row>
    <row r="37" spans="1:6">
      <c r="A37" s="73" t="s">
        <v>335</v>
      </c>
      <c r="B37" s="73" t="s">
        <v>339</v>
      </c>
      <c r="C37" s="5" t="s">
        <v>168</v>
      </c>
      <c r="D37" s="5" t="s">
        <v>163</v>
      </c>
      <c r="E37" s="5" t="str">
        <f t="shared" si="0"/>
        <v>Villa Luisa</v>
      </c>
      <c r="F37" s="5" t="str">
        <f t="shared" si="1"/>
        <v>F-105 Programador</v>
      </c>
    </row>
  </sheetData>
  <mergeCells count="3">
    <mergeCell ref="A6:F6"/>
    <mergeCell ref="B3:C3"/>
    <mergeCell ref="B4:C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5" zoomScale="115" zoomScaleNormal="115" workbookViewId="0">
      <selection activeCell="J10" sqref="J10"/>
    </sheetView>
  </sheetViews>
  <sheetFormatPr baseColWidth="10" defaultRowHeight="15"/>
  <cols>
    <col min="1" max="1" width="11.5703125" customWidth="1"/>
    <col min="2" max="2" width="11" customWidth="1"/>
    <col min="3" max="3" width="11.140625" customWidth="1"/>
    <col min="4" max="4" width="23.28515625" customWidth="1"/>
    <col min="5" max="6" width="13.42578125" customWidth="1"/>
    <col min="7" max="7" width="19" customWidth="1"/>
  </cols>
  <sheetData>
    <row r="1" spans="1:11" ht="15" customHeight="1">
      <c r="A1" s="198" t="s">
        <v>251</v>
      </c>
      <c r="B1" s="198"/>
      <c r="C1" s="100">
        <v>3960.65</v>
      </c>
      <c r="D1" s="192" t="s">
        <v>483</v>
      </c>
      <c r="E1" s="193"/>
      <c r="F1" s="74"/>
      <c r="G1" s="199" t="s">
        <v>343</v>
      </c>
      <c r="H1" s="200"/>
      <c r="I1" s="201"/>
      <c r="J1" s="75"/>
      <c r="K1" s="75"/>
    </row>
    <row r="2" spans="1:11" ht="15" customHeight="1">
      <c r="A2" s="198" t="s">
        <v>484</v>
      </c>
      <c r="B2" s="198"/>
      <c r="C2" s="100">
        <v>4294.9799999999996</v>
      </c>
      <c r="D2" s="194"/>
      <c r="E2" s="195"/>
      <c r="F2" s="74"/>
      <c r="G2" s="202"/>
      <c r="H2" s="203"/>
      <c r="I2" s="204"/>
      <c r="J2" s="75"/>
      <c r="K2" s="75"/>
    </row>
    <row r="3" spans="1:11" ht="15" customHeight="1">
      <c r="A3" s="198" t="s">
        <v>485</v>
      </c>
      <c r="B3" s="198"/>
      <c r="C3" s="100">
        <v>5020.03</v>
      </c>
      <c r="D3" s="194"/>
      <c r="E3" s="195"/>
      <c r="F3" s="74"/>
      <c r="G3" s="202"/>
      <c r="H3" s="203"/>
      <c r="I3" s="204"/>
      <c r="J3" s="75"/>
      <c r="K3" s="75"/>
    </row>
    <row r="4" spans="1:11" ht="16.5" thickBot="1">
      <c r="A4" s="208" t="s">
        <v>344</v>
      </c>
      <c r="B4" s="209"/>
      <c r="C4" s="100">
        <v>1.09E-3</v>
      </c>
      <c r="D4" s="196"/>
      <c r="E4" s="197"/>
      <c r="F4" s="55"/>
      <c r="G4" s="205"/>
      <c r="H4" s="206"/>
      <c r="I4" s="207"/>
      <c r="J4" s="55"/>
      <c r="K4" s="55"/>
    </row>
    <row r="5" spans="1:11" ht="15.75" thickBot="1">
      <c r="G5" s="76"/>
    </row>
    <row r="6" spans="1:11" ht="26.25" customHeight="1">
      <c r="A6" s="93" t="s">
        <v>250</v>
      </c>
      <c r="B6" s="190" t="s">
        <v>249</v>
      </c>
      <c r="C6" s="191"/>
      <c r="D6" s="93" t="s">
        <v>248</v>
      </c>
      <c r="E6" s="93" t="s">
        <v>247</v>
      </c>
      <c r="F6" s="93" t="s">
        <v>246</v>
      </c>
      <c r="G6" s="94" t="s">
        <v>345</v>
      </c>
      <c r="H6" s="192" t="s">
        <v>346</v>
      </c>
      <c r="I6" s="193"/>
    </row>
    <row r="7" spans="1:11" ht="15" customHeight="1">
      <c r="A7" s="95" t="s">
        <v>245</v>
      </c>
      <c r="B7" s="189">
        <v>4500000</v>
      </c>
      <c r="C7" s="189"/>
      <c r="D7" s="305">
        <f>B7/$C$1</f>
        <v>1136.1771426407281</v>
      </c>
      <c r="E7" s="306">
        <f>B7/$C$2</f>
        <v>1047.7347973680903</v>
      </c>
      <c r="F7" s="307">
        <f>B7/$C$3</f>
        <v>896.40898560367168</v>
      </c>
      <c r="G7" s="308">
        <f>B7*$C$4</f>
        <v>4905</v>
      </c>
      <c r="H7" s="194"/>
      <c r="I7" s="195"/>
    </row>
    <row r="8" spans="1:11" ht="15" customHeight="1">
      <c r="A8" s="95" t="s">
        <v>244</v>
      </c>
      <c r="B8" s="189">
        <v>3400000</v>
      </c>
      <c r="C8" s="189"/>
      <c r="D8" s="305">
        <f t="shared" ref="D8:D18" si="0">B8/$C$1</f>
        <v>858.44495221743898</v>
      </c>
      <c r="E8" s="306">
        <f t="shared" ref="E8:E18" si="1">B8/$C$2</f>
        <v>791.62184690033484</v>
      </c>
      <c r="F8" s="307">
        <f t="shared" ref="F8:F18" si="2">B8/$C$3</f>
        <v>677.28678912277417</v>
      </c>
      <c r="G8" s="308">
        <f t="shared" ref="G8:G18" si="3">B8*$C$4</f>
        <v>3706</v>
      </c>
      <c r="H8" s="194"/>
      <c r="I8" s="195"/>
    </row>
    <row r="9" spans="1:11" ht="15" customHeight="1">
      <c r="A9" s="95" t="s">
        <v>243</v>
      </c>
      <c r="B9" s="189">
        <v>4567000</v>
      </c>
      <c r="C9" s="189"/>
      <c r="D9" s="305">
        <f t="shared" si="0"/>
        <v>1153.0935578756012</v>
      </c>
      <c r="E9" s="306">
        <f t="shared" si="1"/>
        <v>1063.3344043511263</v>
      </c>
      <c r="F9" s="307">
        <f t="shared" si="2"/>
        <v>909.75551938932642</v>
      </c>
      <c r="G9" s="308">
        <f t="shared" si="3"/>
        <v>4978.03</v>
      </c>
      <c r="H9" s="194"/>
      <c r="I9" s="195"/>
    </row>
    <row r="10" spans="1:11" ht="15" customHeight="1">
      <c r="A10" s="95" t="s">
        <v>242</v>
      </c>
      <c r="B10" s="189">
        <v>10540000</v>
      </c>
      <c r="C10" s="189"/>
      <c r="D10" s="305">
        <f t="shared" si="0"/>
        <v>2661.179351874061</v>
      </c>
      <c r="E10" s="306">
        <f t="shared" si="1"/>
        <v>2454.0277253910381</v>
      </c>
      <c r="F10" s="307">
        <f t="shared" si="2"/>
        <v>2099.5890462806001</v>
      </c>
      <c r="G10" s="308">
        <f t="shared" si="3"/>
        <v>11488.6</v>
      </c>
      <c r="H10" s="194"/>
      <c r="I10" s="195"/>
    </row>
    <row r="11" spans="1:11" ht="15" customHeight="1">
      <c r="A11" s="95" t="s">
        <v>241</v>
      </c>
      <c r="B11" s="189">
        <v>12000000</v>
      </c>
      <c r="C11" s="189"/>
      <c r="D11" s="305">
        <f t="shared" si="0"/>
        <v>3029.8057137086084</v>
      </c>
      <c r="E11" s="306">
        <f t="shared" si="1"/>
        <v>2793.9594596482407</v>
      </c>
      <c r="F11" s="307">
        <f t="shared" si="2"/>
        <v>2390.4239616097911</v>
      </c>
      <c r="G11" s="308">
        <f t="shared" si="3"/>
        <v>13080</v>
      </c>
      <c r="H11" s="194"/>
      <c r="I11" s="195"/>
    </row>
    <row r="12" spans="1:11" ht="15" customHeight="1">
      <c r="A12" s="95" t="s">
        <v>240</v>
      </c>
      <c r="B12" s="189">
        <v>13200050</v>
      </c>
      <c r="C12" s="189"/>
      <c r="D12" s="305">
        <f t="shared" si="0"/>
        <v>3332.7989092699431</v>
      </c>
      <c r="E12" s="306">
        <f t="shared" si="1"/>
        <v>3073.3670471108135</v>
      </c>
      <c r="F12" s="307">
        <f t="shared" si="2"/>
        <v>2629.4763178706103</v>
      </c>
      <c r="G12" s="308">
        <f t="shared" si="3"/>
        <v>14388.0545</v>
      </c>
      <c r="H12" s="194"/>
      <c r="I12" s="195"/>
    </row>
    <row r="13" spans="1:11" ht="15" customHeight="1">
      <c r="A13" s="95" t="s">
        <v>239</v>
      </c>
      <c r="B13" s="189">
        <v>19000200</v>
      </c>
      <c r="C13" s="189"/>
      <c r="D13" s="305">
        <f t="shared" si="0"/>
        <v>4797.2428768005248</v>
      </c>
      <c r="E13" s="306">
        <f t="shared" si="1"/>
        <v>4423.8157104340416</v>
      </c>
      <c r="F13" s="307">
        <f t="shared" si="2"/>
        <v>3784.8777796148629</v>
      </c>
      <c r="G13" s="308">
        <f t="shared" si="3"/>
        <v>20710.218000000001</v>
      </c>
      <c r="H13" s="194"/>
      <c r="I13" s="195"/>
    </row>
    <row r="14" spans="1:11" ht="15" customHeight="1">
      <c r="A14" s="95" t="s">
        <v>238</v>
      </c>
      <c r="B14" s="189">
        <v>56879000</v>
      </c>
      <c r="C14" s="189"/>
      <c r="D14" s="305">
        <f t="shared" si="0"/>
        <v>14361.026599169329</v>
      </c>
      <c r="E14" s="306">
        <f t="shared" si="1"/>
        <v>13243.13500877769</v>
      </c>
      <c r="F14" s="307">
        <f t="shared" si="2"/>
        <v>11330.410376033609</v>
      </c>
      <c r="G14" s="308">
        <f t="shared" si="3"/>
        <v>61998.11</v>
      </c>
      <c r="H14" s="194"/>
      <c r="I14" s="195"/>
    </row>
    <row r="15" spans="1:11" ht="15.75" thickBot="1">
      <c r="A15" s="95" t="s">
        <v>237</v>
      </c>
      <c r="B15" s="189">
        <v>66000400</v>
      </c>
      <c r="C15" s="189"/>
      <c r="D15" s="305">
        <f t="shared" si="0"/>
        <v>16664.032418921135</v>
      </c>
      <c r="E15" s="306">
        <f t="shared" si="1"/>
        <v>15366.870160047312</v>
      </c>
      <c r="F15" s="307">
        <f t="shared" si="2"/>
        <v>13147.411469652572</v>
      </c>
      <c r="G15" s="308">
        <f t="shared" si="3"/>
        <v>71940.436000000002</v>
      </c>
      <c r="H15" s="196"/>
      <c r="I15" s="197"/>
    </row>
    <row r="16" spans="1:11">
      <c r="A16" s="95" t="s">
        <v>236</v>
      </c>
      <c r="B16" s="189">
        <v>78900450</v>
      </c>
      <c r="C16" s="189"/>
      <c r="D16" s="305">
        <f t="shared" si="0"/>
        <v>19921.086185348366</v>
      </c>
      <c r="E16" s="306">
        <f t="shared" si="1"/>
        <v>18370.388220666919</v>
      </c>
      <c r="F16" s="307">
        <f t="shared" si="2"/>
        <v>15717.127188482938</v>
      </c>
      <c r="G16" s="308">
        <f t="shared" si="3"/>
        <v>86001.4905</v>
      </c>
    </row>
    <row r="17" spans="1:7">
      <c r="A17" s="95" t="s">
        <v>235</v>
      </c>
      <c r="B17" s="189">
        <v>67777600</v>
      </c>
      <c r="C17" s="189"/>
      <c r="D17" s="305">
        <f t="shared" si="0"/>
        <v>17112.74664512138</v>
      </c>
      <c r="E17" s="306">
        <f t="shared" si="1"/>
        <v>15780.655556021216</v>
      </c>
      <c r="F17" s="307">
        <f t="shared" si="2"/>
        <v>13501.433258366982</v>
      </c>
      <c r="G17" s="308">
        <f t="shared" si="3"/>
        <v>73877.584000000003</v>
      </c>
    </row>
    <row r="18" spans="1:7">
      <c r="A18" s="95" t="s">
        <v>234</v>
      </c>
      <c r="B18" s="189">
        <v>89000450</v>
      </c>
      <c r="C18" s="189"/>
      <c r="D18" s="305">
        <f t="shared" si="0"/>
        <v>22471.172661053108</v>
      </c>
      <c r="E18" s="306">
        <f t="shared" si="1"/>
        <v>20721.970765870858</v>
      </c>
      <c r="F18" s="307">
        <f t="shared" si="2"/>
        <v>17729.067356171177</v>
      </c>
      <c r="G18" s="308">
        <f t="shared" si="3"/>
        <v>97010.4905</v>
      </c>
    </row>
    <row r="20" spans="1:7">
      <c r="A20" s="96" t="s">
        <v>496</v>
      </c>
    </row>
  </sheetData>
  <mergeCells count="20">
    <mergeCell ref="A1:B1"/>
    <mergeCell ref="D1:E4"/>
    <mergeCell ref="G1:I4"/>
    <mergeCell ref="A2:B2"/>
    <mergeCell ref="A3:B3"/>
    <mergeCell ref="A4:B4"/>
    <mergeCell ref="B16:C16"/>
    <mergeCell ref="B17:C17"/>
    <mergeCell ref="B18:C18"/>
    <mergeCell ref="B6:C6"/>
    <mergeCell ref="H6:I15"/>
    <mergeCell ref="B7:C7"/>
    <mergeCell ref="B8:C8"/>
    <mergeCell ref="B9:C9"/>
    <mergeCell ref="B10:C10"/>
    <mergeCell ref="B11:C11"/>
    <mergeCell ref="B12:C12"/>
    <mergeCell ref="B13:C13"/>
    <mergeCell ref="B14:C14"/>
    <mergeCell ref="B15:C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3"/>
  <sheetViews>
    <sheetView topLeftCell="E1" workbookViewId="0">
      <selection activeCell="J7" sqref="J7"/>
    </sheetView>
  </sheetViews>
  <sheetFormatPr baseColWidth="10" defaultRowHeight="15"/>
  <cols>
    <col min="1" max="1" width="4" style="101" bestFit="1" customWidth="1"/>
    <col min="2" max="2" width="19" style="101" bestFit="1" customWidth="1"/>
    <col min="3" max="3" width="17.140625" style="101" bestFit="1" customWidth="1"/>
    <col min="4" max="4" width="32.5703125" style="101" customWidth="1"/>
    <col min="5" max="5" width="5.5703125" style="101" bestFit="1" customWidth="1"/>
    <col min="6" max="6" width="5.42578125" style="101" bestFit="1" customWidth="1"/>
    <col min="7" max="7" width="8.5703125" style="101" customWidth="1"/>
    <col min="8" max="8" width="17.42578125" style="101" customWidth="1"/>
    <col min="9" max="9" width="11.42578125" style="101"/>
    <col min="10" max="10" width="12.42578125" style="101" customWidth="1"/>
    <col min="11" max="11" width="13.28515625" style="101" customWidth="1"/>
    <col min="12" max="12" width="15.140625" style="101" customWidth="1"/>
    <col min="13" max="13" width="5" style="108" customWidth="1"/>
    <col min="14" max="14" width="26.28515625" style="101" customWidth="1"/>
    <col min="15" max="15" width="11" style="101" customWidth="1"/>
    <col min="16" max="16" width="3.28515625" style="101" customWidth="1"/>
    <col min="17" max="16384" width="11.42578125" style="101"/>
  </cols>
  <sheetData>
    <row r="1" spans="1:20" ht="24" customHeight="1">
      <c r="B1" s="102" t="s">
        <v>496</v>
      </c>
      <c r="C1" s="103"/>
      <c r="D1" s="103"/>
      <c r="M1" s="217" t="s">
        <v>362</v>
      </c>
      <c r="N1" s="217"/>
      <c r="O1" s="217"/>
      <c r="S1" s="104"/>
      <c r="T1" s="104"/>
    </row>
    <row r="2" spans="1:20" ht="18.75">
      <c r="A2" s="218" t="s">
        <v>363</v>
      </c>
      <c r="B2" s="218"/>
      <c r="C2" s="218"/>
      <c r="D2" s="218"/>
      <c r="E2" s="218"/>
      <c r="F2" s="218"/>
      <c r="G2" s="218"/>
      <c r="H2" s="218"/>
      <c r="I2" s="218"/>
      <c r="J2" s="218"/>
      <c r="K2" s="218"/>
      <c r="L2" s="105"/>
      <c r="M2" s="217"/>
      <c r="N2" s="217"/>
      <c r="O2" s="217"/>
    </row>
    <row r="3" spans="1:20">
      <c r="A3" s="106"/>
      <c r="B3" s="106"/>
      <c r="C3" s="106"/>
      <c r="D3" s="106"/>
      <c r="E3" s="106"/>
      <c r="F3" s="106"/>
      <c r="G3" s="106"/>
      <c r="H3" s="106"/>
      <c r="I3" s="106"/>
      <c r="J3" s="219"/>
      <c r="K3" s="219"/>
      <c r="L3" s="107" t="s">
        <v>364</v>
      </c>
    </row>
    <row r="4" spans="1:20" ht="26.25">
      <c r="A4" s="220" t="s">
        <v>365</v>
      </c>
      <c r="B4" s="220"/>
      <c r="C4" s="220"/>
      <c r="D4" s="220"/>
      <c r="E4" s="220"/>
      <c r="F4" s="220"/>
      <c r="G4" s="220"/>
      <c r="H4" s="220"/>
      <c r="I4" s="220"/>
      <c r="J4" s="220"/>
      <c r="K4" s="220"/>
      <c r="L4" s="109">
        <v>0.1</v>
      </c>
      <c r="N4" s="221" t="s">
        <v>475</v>
      </c>
      <c r="O4" s="222"/>
    </row>
    <row r="5" spans="1:20" ht="15.75">
      <c r="A5" s="110"/>
      <c r="B5" s="111"/>
      <c r="C5" s="111"/>
      <c r="D5" s="111"/>
      <c r="E5" s="111"/>
      <c r="F5" s="111"/>
      <c r="G5" s="112"/>
      <c r="H5" s="113"/>
      <c r="I5" s="112"/>
      <c r="N5" s="223">
        <f ca="1">TODAY()</f>
        <v>45348</v>
      </c>
      <c r="O5" s="224"/>
      <c r="P5" s="101" t="s">
        <v>366</v>
      </c>
      <c r="Q5" s="101" t="s">
        <v>367</v>
      </c>
    </row>
    <row r="6" spans="1:20" ht="38.25">
      <c r="A6" s="114" t="s">
        <v>368</v>
      </c>
      <c r="B6" s="114" t="s">
        <v>369</v>
      </c>
      <c r="C6" s="114" t="s">
        <v>370</v>
      </c>
      <c r="D6" s="114" t="s">
        <v>474</v>
      </c>
      <c r="E6" s="114" t="s">
        <v>371</v>
      </c>
      <c r="F6" s="114" t="s">
        <v>372</v>
      </c>
      <c r="G6" s="114" t="s">
        <v>373</v>
      </c>
      <c r="H6" s="114" t="s">
        <v>374</v>
      </c>
      <c r="I6" s="114" t="s">
        <v>375</v>
      </c>
      <c r="J6" s="114" t="s">
        <v>376</v>
      </c>
      <c r="K6" s="114" t="str">
        <f ca="1">"Valor Mensualidad Año "&amp;YEAR(TODAY())-1</f>
        <v>Valor Mensualidad Año 2023</v>
      </c>
      <c r="L6" s="115" t="str">
        <f ca="1">"Valor Mensualidad "&amp;PROPER(TEXT(TODAY(),"mmmm"))&amp;YEAR(TODAY())</f>
        <v>Valor Mensualidad Febrero2024</v>
      </c>
    </row>
    <row r="7" spans="1:20">
      <c r="A7" s="119">
        <v>1</v>
      </c>
      <c r="B7" s="137" t="s">
        <v>377</v>
      </c>
      <c r="C7" s="137" t="s">
        <v>378</v>
      </c>
      <c r="D7" s="119" t="str">
        <f>CONCATENATE(C7," ",B7)</f>
        <v>Patricio Alonso Lozada Mejia</v>
      </c>
      <c r="E7" s="138">
        <v>1.5</v>
      </c>
      <c r="F7" s="139">
        <v>41</v>
      </c>
      <c r="G7" s="138">
        <f>F7/E7^2</f>
        <v>18.222222222222221</v>
      </c>
      <c r="H7" s="140" t="str">
        <f>IF(G7="","",IF(G7&lt;18,"Falto de Peso",IF(G7&gt;25,"Con Sobre Peso","Normal")))</f>
        <v>Normal</v>
      </c>
      <c r="I7" s="141">
        <v>39745</v>
      </c>
      <c r="J7" s="309">
        <f ca="1">DATEDIF(I7,TODAY(),"Y")</f>
        <v>15</v>
      </c>
      <c r="K7" s="142">
        <f ca="1">IF(J7&lt;&gt;"",IF(J7&lt;=13,200000,IF(J7&gt;=17,300000,250000)),"")</f>
        <v>250000</v>
      </c>
      <c r="L7" s="310">
        <f ca="1">K7*$L$4+K7</f>
        <v>275000</v>
      </c>
      <c r="N7" s="101" t="s">
        <v>476</v>
      </c>
    </row>
    <row r="8" spans="1:20">
      <c r="A8" s="119">
        <v>2</v>
      </c>
      <c r="B8" s="137" t="s">
        <v>379</v>
      </c>
      <c r="C8" s="137" t="s">
        <v>380</v>
      </c>
      <c r="D8" s="119" t="str">
        <f t="shared" ref="D8:D41" si="0">CONCATENATE(C8," ",B8)</f>
        <v>Erik josue Bustamante ocaña</v>
      </c>
      <c r="E8" s="138">
        <v>1.53</v>
      </c>
      <c r="F8" s="139">
        <v>47</v>
      </c>
      <c r="G8" s="138">
        <f t="shared" ref="G8:G41" si="1">F8/E8^2</f>
        <v>20.077747874749029</v>
      </c>
      <c r="H8" s="140" t="str">
        <f t="shared" ref="H8:H41" si="2">IF(G8="","",IF(G8&lt;18,"Falto de Peso",IF(G8&gt;25,"Con Sobre Peso","Normal")))</f>
        <v>Normal</v>
      </c>
      <c r="I8" s="141">
        <v>38037</v>
      </c>
      <c r="J8" s="309">
        <f t="shared" ref="J8:J41" ca="1" si="3">DATEDIF(I8,TODAY(),"Y")</f>
        <v>20</v>
      </c>
      <c r="K8" s="142">
        <f t="shared" ref="K8:K41" ca="1" si="4">IF(J8&lt;&gt;"",IF(J8&lt;=13,200000,IF(J8&gt;=17,300000,250000)),"")</f>
        <v>300000</v>
      </c>
      <c r="L8" s="310">
        <f t="shared" ref="L8:L41" ca="1" si="5">K8*$L$4+K8</f>
        <v>330000</v>
      </c>
      <c r="N8" s="116" t="s">
        <v>381</v>
      </c>
      <c r="O8" s="169">
        <f ca="1">TODAY()</f>
        <v>45348</v>
      </c>
      <c r="P8" s="101" t="s">
        <v>366</v>
      </c>
      <c r="Q8" s="101" t="s">
        <v>382</v>
      </c>
    </row>
    <row r="9" spans="1:20">
      <c r="A9" s="119">
        <v>3</v>
      </c>
      <c r="B9" s="137" t="s">
        <v>383</v>
      </c>
      <c r="C9" s="137" t="s">
        <v>384</v>
      </c>
      <c r="D9" s="119" t="str">
        <f t="shared" si="0"/>
        <v>Mauricio Rolando Berru Yarleque</v>
      </c>
      <c r="E9" s="138">
        <v>1.67</v>
      </c>
      <c r="F9" s="139">
        <v>52</v>
      </c>
      <c r="G9" s="138">
        <f t="shared" si="1"/>
        <v>18.645344042454013</v>
      </c>
      <c r="H9" s="140" t="str">
        <f t="shared" si="2"/>
        <v>Normal</v>
      </c>
      <c r="I9" s="141">
        <v>39436</v>
      </c>
      <c r="J9" s="309">
        <f t="shared" ca="1" si="3"/>
        <v>16</v>
      </c>
      <c r="K9" s="142">
        <f t="shared" ca="1" si="4"/>
        <v>250000</v>
      </c>
      <c r="L9" s="310">
        <f t="shared" ca="1" si="5"/>
        <v>275000</v>
      </c>
      <c r="N9" s="116" t="s">
        <v>385</v>
      </c>
      <c r="O9" s="172">
        <f t="shared" ref="O9:O11" ca="1" si="6">TODAY()</f>
        <v>45348</v>
      </c>
      <c r="P9" s="101" t="s">
        <v>366</v>
      </c>
      <c r="Q9" s="101" t="s">
        <v>386</v>
      </c>
    </row>
    <row r="10" spans="1:20">
      <c r="A10" s="119">
        <v>4</v>
      </c>
      <c r="B10" s="137" t="s">
        <v>387</v>
      </c>
      <c r="C10" s="137" t="s">
        <v>388</v>
      </c>
      <c r="D10" s="119" t="str">
        <f t="shared" si="0"/>
        <v>Renzo Jesus Gonzales Yarleque</v>
      </c>
      <c r="E10" s="138">
        <v>1.65</v>
      </c>
      <c r="F10" s="139">
        <v>55</v>
      </c>
      <c r="G10" s="138">
        <f t="shared" si="1"/>
        <v>20.202020202020204</v>
      </c>
      <c r="H10" s="140" t="str">
        <f t="shared" si="2"/>
        <v>Normal</v>
      </c>
      <c r="I10" s="141">
        <v>39567</v>
      </c>
      <c r="J10" s="309">
        <f t="shared" ca="1" si="3"/>
        <v>15</v>
      </c>
      <c r="K10" s="142">
        <f t="shared" ca="1" si="4"/>
        <v>250000</v>
      </c>
      <c r="L10" s="310">
        <f t="shared" ca="1" si="5"/>
        <v>275000</v>
      </c>
      <c r="N10" s="116" t="s">
        <v>389</v>
      </c>
      <c r="O10" s="171">
        <f t="shared" ca="1" si="6"/>
        <v>45348</v>
      </c>
      <c r="P10" s="101" t="s">
        <v>366</v>
      </c>
      <c r="Q10" s="101" t="s">
        <v>390</v>
      </c>
    </row>
    <row r="11" spans="1:20">
      <c r="A11" s="119">
        <v>5</v>
      </c>
      <c r="B11" s="137" t="s">
        <v>391</v>
      </c>
      <c r="C11" s="137" t="s">
        <v>392</v>
      </c>
      <c r="D11" s="119" t="str">
        <f t="shared" si="0"/>
        <v>Martin Jhonattan Peña Castillo</v>
      </c>
      <c r="E11" s="138">
        <v>1.59</v>
      </c>
      <c r="F11" s="139">
        <v>55</v>
      </c>
      <c r="G11" s="138">
        <f t="shared" si="1"/>
        <v>21.75546853368142</v>
      </c>
      <c r="H11" s="140" t="str">
        <f t="shared" si="2"/>
        <v>Normal</v>
      </c>
      <c r="I11" s="141">
        <v>39010</v>
      </c>
      <c r="J11" s="309">
        <f t="shared" ca="1" si="3"/>
        <v>17</v>
      </c>
      <c r="K11" s="142">
        <f t="shared" ca="1" si="4"/>
        <v>300000</v>
      </c>
      <c r="L11" s="310">
        <f t="shared" ca="1" si="5"/>
        <v>330000</v>
      </c>
      <c r="N11" s="116" t="s">
        <v>393</v>
      </c>
      <c r="O11" s="170">
        <f t="shared" ca="1" si="6"/>
        <v>45348</v>
      </c>
      <c r="P11" s="101" t="s">
        <v>366</v>
      </c>
      <c r="Q11" s="101" t="s">
        <v>394</v>
      </c>
    </row>
    <row r="12" spans="1:20">
      <c r="A12" s="119">
        <v>6</v>
      </c>
      <c r="B12" s="137" t="s">
        <v>395</v>
      </c>
      <c r="C12" s="137" t="s">
        <v>396</v>
      </c>
      <c r="D12" s="119" t="str">
        <f t="shared" si="0"/>
        <v>Juan ricardo Domingues Troncos</v>
      </c>
      <c r="E12" s="138">
        <v>1.64</v>
      </c>
      <c r="F12" s="139">
        <v>56</v>
      </c>
      <c r="G12" s="138">
        <f t="shared" si="1"/>
        <v>20.820939916716245</v>
      </c>
      <c r="H12" s="140" t="str">
        <f t="shared" si="2"/>
        <v>Normal</v>
      </c>
      <c r="I12" s="141">
        <v>39519</v>
      </c>
      <c r="J12" s="309">
        <f t="shared" ca="1" si="3"/>
        <v>15</v>
      </c>
      <c r="K12" s="142">
        <f t="shared" ca="1" si="4"/>
        <v>250000</v>
      </c>
      <c r="L12" s="310">
        <f t="shared" ca="1" si="5"/>
        <v>275000</v>
      </c>
    </row>
    <row r="13" spans="1:20">
      <c r="A13" s="119">
        <v>7</v>
      </c>
      <c r="B13" s="137" t="s">
        <v>397</v>
      </c>
      <c r="C13" s="137" t="s">
        <v>398</v>
      </c>
      <c r="D13" s="119" t="str">
        <f t="shared" si="0"/>
        <v>Jean Pierre Panta Trelles</v>
      </c>
      <c r="E13" s="138">
        <v>1.64</v>
      </c>
      <c r="F13" s="139">
        <v>57</v>
      </c>
      <c r="G13" s="138">
        <f t="shared" si="1"/>
        <v>21.192742415229034</v>
      </c>
      <c r="H13" s="140" t="str">
        <f t="shared" si="2"/>
        <v>Normal</v>
      </c>
      <c r="I13" s="141">
        <v>39592</v>
      </c>
      <c r="J13" s="309">
        <f t="shared" ca="1" si="3"/>
        <v>15</v>
      </c>
      <c r="K13" s="142">
        <f t="shared" ca="1" si="4"/>
        <v>250000</v>
      </c>
      <c r="L13" s="310">
        <f t="shared" ca="1" si="5"/>
        <v>275000</v>
      </c>
    </row>
    <row r="14" spans="1:20">
      <c r="A14" s="119">
        <v>8</v>
      </c>
      <c r="B14" s="137" t="s">
        <v>399</v>
      </c>
      <c r="C14" s="137" t="s">
        <v>400</v>
      </c>
      <c r="D14" s="119" t="str">
        <f t="shared" si="0"/>
        <v>MarcoantonioVictor Alamo viera</v>
      </c>
      <c r="E14" s="138">
        <v>1.65</v>
      </c>
      <c r="F14" s="139">
        <v>58</v>
      </c>
      <c r="G14" s="138">
        <f t="shared" si="1"/>
        <v>21.30394857667585</v>
      </c>
      <c r="H14" s="140" t="str">
        <f t="shared" si="2"/>
        <v>Normal</v>
      </c>
      <c r="I14" s="141">
        <v>39193</v>
      </c>
      <c r="J14" s="309">
        <f t="shared" ca="1" si="3"/>
        <v>16</v>
      </c>
      <c r="K14" s="142">
        <f t="shared" ca="1" si="4"/>
        <v>250000</v>
      </c>
      <c r="L14" s="310">
        <f t="shared" ca="1" si="5"/>
        <v>275000</v>
      </c>
    </row>
    <row r="15" spans="1:20">
      <c r="A15" s="119">
        <v>9</v>
      </c>
      <c r="B15" s="137" t="s">
        <v>401</v>
      </c>
      <c r="C15" s="137" t="s">
        <v>402</v>
      </c>
      <c r="D15" s="119" t="str">
        <f t="shared" si="0"/>
        <v>Pedro Ernesto Hernandes Barrientos</v>
      </c>
      <c r="E15" s="138">
        <v>1.66</v>
      </c>
      <c r="F15" s="139">
        <v>58</v>
      </c>
      <c r="G15" s="138">
        <f t="shared" si="1"/>
        <v>21.048047612135289</v>
      </c>
      <c r="H15" s="140" t="str">
        <f t="shared" si="2"/>
        <v>Normal</v>
      </c>
      <c r="I15" s="141">
        <v>39414</v>
      </c>
      <c r="J15" s="309">
        <f t="shared" ca="1" si="3"/>
        <v>16</v>
      </c>
      <c r="K15" s="142">
        <f t="shared" ca="1" si="4"/>
        <v>250000</v>
      </c>
      <c r="L15" s="310">
        <f t="shared" ca="1" si="5"/>
        <v>275000</v>
      </c>
      <c r="N15" s="118" t="s">
        <v>403</v>
      </c>
      <c r="O15" s="119">
        <f>COUNTA(D7:D41)</f>
        <v>35</v>
      </c>
      <c r="P15" s="101" t="s">
        <v>366</v>
      </c>
      <c r="Q15" s="101" t="s">
        <v>404</v>
      </c>
    </row>
    <row r="16" spans="1:20">
      <c r="A16" s="119">
        <v>10</v>
      </c>
      <c r="B16" s="137" t="s">
        <v>405</v>
      </c>
      <c r="C16" s="137" t="s">
        <v>406</v>
      </c>
      <c r="D16" s="119" t="str">
        <f t="shared" si="0"/>
        <v>julio Santino Castro reyes</v>
      </c>
      <c r="E16" s="138">
        <v>1.55</v>
      </c>
      <c r="F16" s="139">
        <v>59</v>
      </c>
      <c r="G16" s="138">
        <f t="shared" si="1"/>
        <v>24.557752341311129</v>
      </c>
      <c r="H16" s="140" t="str">
        <f t="shared" si="2"/>
        <v>Normal</v>
      </c>
      <c r="I16" s="141">
        <v>38723</v>
      </c>
      <c r="J16" s="309">
        <f t="shared" ca="1" si="3"/>
        <v>18</v>
      </c>
      <c r="K16" s="142">
        <f t="shared" ca="1" si="4"/>
        <v>300000</v>
      </c>
      <c r="L16" s="310">
        <f t="shared" ca="1" si="5"/>
        <v>330000</v>
      </c>
    </row>
    <row r="17" spans="1:17">
      <c r="A17" s="119">
        <v>11</v>
      </c>
      <c r="B17" s="137" t="s">
        <v>407</v>
      </c>
      <c r="C17" s="137" t="s">
        <v>408</v>
      </c>
      <c r="D17" s="119" t="str">
        <f t="shared" si="0"/>
        <v>Carlos Junior Gallardo Salazar</v>
      </c>
      <c r="E17" s="138">
        <v>1.63</v>
      </c>
      <c r="F17" s="139">
        <v>59</v>
      </c>
      <c r="G17" s="138">
        <f t="shared" si="1"/>
        <v>22.206330686137981</v>
      </c>
      <c r="H17" s="140" t="str">
        <f t="shared" si="2"/>
        <v>Normal</v>
      </c>
      <c r="I17" s="141">
        <v>38783</v>
      </c>
      <c r="J17" s="309">
        <f t="shared" ca="1" si="3"/>
        <v>17</v>
      </c>
      <c r="K17" s="142">
        <f t="shared" ca="1" si="4"/>
        <v>300000</v>
      </c>
      <c r="L17" s="310">
        <f t="shared" ca="1" si="5"/>
        <v>330000</v>
      </c>
    </row>
    <row r="18" spans="1:17">
      <c r="A18" s="119">
        <v>12</v>
      </c>
      <c r="B18" s="137" t="s">
        <v>409</v>
      </c>
      <c r="C18" s="137" t="s">
        <v>410</v>
      </c>
      <c r="D18" s="119" t="str">
        <f t="shared" si="0"/>
        <v>Franco Paul Saravia Herrera</v>
      </c>
      <c r="E18" s="138">
        <v>1.72</v>
      </c>
      <c r="F18" s="139">
        <v>63</v>
      </c>
      <c r="G18" s="138">
        <f t="shared" si="1"/>
        <v>21.295294753921041</v>
      </c>
      <c r="H18" s="140" t="str">
        <f t="shared" si="2"/>
        <v>Normal</v>
      </c>
      <c r="I18" s="141">
        <v>39453</v>
      </c>
      <c r="J18" s="309">
        <f t="shared" ca="1" si="3"/>
        <v>16</v>
      </c>
      <c r="K18" s="142">
        <f t="shared" ca="1" si="4"/>
        <v>250000</v>
      </c>
      <c r="L18" s="310">
        <f t="shared" ca="1" si="5"/>
        <v>275000</v>
      </c>
    </row>
    <row r="19" spans="1:17">
      <c r="A19" s="119">
        <v>13</v>
      </c>
      <c r="B19" s="137" t="s">
        <v>411</v>
      </c>
      <c r="C19" s="137" t="s">
        <v>412</v>
      </c>
      <c r="D19" s="119" t="str">
        <f t="shared" si="0"/>
        <v>Jorge Alejandro Garcia Gallardo</v>
      </c>
      <c r="E19" s="138">
        <v>1.8</v>
      </c>
      <c r="F19" s="139">
        <v>68</v>
      </c>
      <c r="G19" s="138">
        <f t="shared" si="1"/>
        <v>20.987654320987652</v>
      </c>
      <c r="H19" s="140" t="str">
        <f t="shared" si="2"/>
        <v>Normal</v>
      </c>
      <c r="I19" s="141">
        <v>38404</v>
      </c>
      <c r="J19" s="309">
        <f t="shared" ca="1" si="3"/>
        <v>19</v>
      </c>
      <c r="K19" s="142">
        <f t="shared" ca="1" si="4"/>
        <v>300000</v>
      </c>
      <c r="L19" s="310">
        <f t="shared" ca="1" si="5"/>
        <v>330000</v>
      </c>
      <c r="N19" s="210" t="s">
        <v>413</v>
      </c>
      <c r="O19" s="211"/>
    </row>
    <row r="20" spans="1:17">
      <c r="A20" s="119">
        <v>14</v>
      </c>
      <c r="B20" s="137" t="s">
        <v>414</v>
      </c>
      <c r="C20" s="137" t="s">
        <v>415</v>
      </c>
      <c r="D20" s="119" t="str">
        <f t="shared" si="0"/>
        <v>Oscar Daniel Portocarrero Aleman</v>
      </c>
      <c r="E20" s="138">
        <v>1.72</v>
      </c>
      <c r="F20" s="139">
        <v>68</v>
      </c>
      <c r="G20" s="138">
        <f t="shared" si="1"/>
        <v>22.985397512168742</v>
      </c>
      <c r="H20" s="140" t="str">
        <f t="shared" si="2"/>
        <v>Normal</v>
      </c>
      <c r="I20" s="141">
        <v>39444</v>
      </c>
      <c r="J20" s="309">
        <f t="shared" ca="1" si="3"/>
        <v>16</v>
      </c>
      <c r="K20" s="142">
        <f t="shared" ca="1" si="4"/>
        <v>250000</v>
      </c>
      <c r="L20" s="310">
        <f t="shared" ca="1" si="5"/>
        <v>275000</v>
      </c>
      <c r="N20" s="116" t="s">
        <v>416</v>
      </c>
      <c r="O20" s="173">
        <f>AVERAGE(F7:F41)</f>
        <v>59.771428571428572</v>
      </c>
    </row>
    <row r="21" spans="1:17">
      <c r="A21" s="119">
        <v>15</v>
      </c>
      <c r="B21" s="137" t="s">
        <v>417</v>
      </c>
      <c r="C21" s="137" t="s">
        <v>418</v>
      </c>
      <c r="D21" s="119" t="str">
        <f t="shared" si="0"/>
        <v>Fernando Martin Rosillo Dedios</v>
      </c>
      <c r="E21" s="138">
        <v>1.68</v>
      </c>
      <c r="F21" s="139">
        <v>69</v>
      </c>
      <c r="G21" s="138">
        <f t="shared" si="1"/>
        <v>24.447278911564631</v>
      </c>
      <c r="H21" s="140" t="str">
        <f t="shared" si="2"/>
        <v>Normal</v>
      </c>
      <c r="I21" s="141">
        <v>38620</v>
      </c>
      <c r="J21" s="309">
        <f t="shared" ca="1" si="3"/>
        <v>18</v>
      </c>
      <c r="K21" s="142">
        <f t="shared" ca="1" si="4"/>
        <v>300000</v>
      </c>
      <c r="L21" s="310">
        <f t="shared" ca="1" si="5"/>
        <v>330000</v>
      </c>
      <c r="N21" s="116" t="s">
        <v>419</v>
      </c>
      <c r="O21" s="174">
        <f>AVERAGE(E7:E41)</f>
        <v>1.6362857142857146</v>
      </c>
    </row>
    <row r="22" spans="1:17">
      <c r="A22" s="119">
        <v>16</v>
      </c>
      <c r="B22" s="137" t="s">
        <v>420</v>
      </c>
      <c r="C22" s="137" t="s">
        <v>421</v>
      </c>
      <c r="D22" s="119" t="str">
        <f t="shared" si="0"/>
        <v>Juan Carlos Velasquez Mendoza</v>
      </c>
      <c r="E22" s="138">
        <v>1.74</v>
      </c>
      <c r="F22" s="139">
        <v>71</v>
      </c>
      <c r="G22" s="138">
        <f t="shared" si="1"/>
        <v>23.450918219051392</v>
      </c>
      <c r="H22" s="140" t="str">
        <f t="shared" si="2"/>
        <v>Normal</v>
      </c>
      <c r="I22" s="141">
        <v>38032</v>
      </c>
      <c r="J22" s="309">
        <f t="shared" ca="1" si="3"/>
        <v>20</v>
      </c>
      <c r="K22" s="142">
        <f t="shared" ca="1" si="4"/>
        <v>300000</v>
      </c>
      <c r="L22" s="310">
        <f t="shared" ca="1" si="5"/>
        <v>330000</v>
      </c>
      <c r="N22" s="116" t="s">
        <v>422</v>
      </c>
      <c r="O22" s="311">
        <f ca="1">AVERAGE(J7:J41)</f>
        <v>16.914285714285715</v>
      </c>
    </row>
    <row r="23" spans="1:17">
      <c r="A23" s="119">
        <v>17</v>
      </c>
      <c r="B23" s="137" t="s">
        <v>423</v>
      </c>
      <c r="C23" s="137" t="s">
        <v>424</v>
      </c>
      <c r="D23" s="119" t="str">
        <f t="shared" si="0"/>
        <v>Miguel angel Abramonte Abada</v>
      </c>
      <c r="E23" s="138">
        <v>1.71</v>
      </c>
      <c r="F23" s="139">
        <v>82</v>
      </c>
      <c r="G23" s="138">
        <f t="shared" si="1"/>
        <v>28.042816593139772</v>
      </c>
      <c r="H23" s="140" t="str">
        <f t="shared" si="2"/>
        <v>Con Sobre Peso</v>
      </c>
      <c r="I23" s="141">
        <v>39188</v>
      </c>
      <c r="J23" s="309">
        <f t="shared" ca="1" si="3"/>
        <v>16</v>
      </c>
      <c r="K23" s="142">
        <f t="shared" ca="1" si="4"/>
        <v>250000</v>
      </c>
      <c r="L23" s="310">
        <f t="shared" ca="1" si="5"/>
        <v>275000</v>
      </c>
      <c r="N23" s="116" t="s">
        <v>425</v>
      </c>
      <c r="O23" s="174">
        <f>AVERAGE(G7:G41)</f>
        <v>22.288654488656434</v>
      </c>
    </row>
    <row r="24" spans="1:17">
      <c r="A24" s="119">
        <v>18</v>
      </c>
      <c r="B24" s="137" t="s">
        <v>426</v>
      </c>
      <c r="C24" s="137" t="s">
        <v>427</v>
      </c>
      <c r="D24" s="119" t="str">
        <f t="shared" si="0"/>
        <v>Rafael Angel Requena Troncos</v>
      </c>
      <c r="E24" s="138">
        <v>1.51</v>
      </c>
      <c r="F24" s="139">
        <v>43</v>
      </c>
      <c r="G24" s="138">
        <f t="shared" si="1"/>
        <v>18.858821981492039</v>
      </c>
      <c r="H24" s="140" t="str">
        <f t="shared" si="2"/>
        <v>Normal</v>
      </c>
      <c r="I24" s="141">
        <v>39649</v>
      </c>
      <c r="J24" s="309">
        <f t="shared" ca="1" si="3"/>
        <v>15</v>
      </c>
      <c r="K24" s="142">
        <f t="shared" ca="1" si="4"/>
        <v>250000</v>
      </c>
      <c r="L24" s="310">
        <f t="shared" ca="1" si="5"/>
        <v>275000</v>
      </c>
    </row>
    <row r="25" spans="1:17">
      <c r="A25" s="119">
        <v>19</v>
      </c>
      <c r="B25" s="137" t="s">
        <v>428</v>
      </c>
      <c r="C25" s="137" t="s">
        <v>429</v>
      </c>
      <c r="D25" s="119" t="str">
        <f t="shared" si="0"/>
        <v>Lenin Alejandro Roblez Machaguay</v>
      </c>
      <c r="E25" s="138">
        <v>1.57</v>
      </c>
      <c r="F25" s="139">
        <v>45</v>
      </c>
      <c r="G25" s="138">
        <f t="shared" si="1"/>
        <v>18.25631871475516</v>
      </c>
      <c r="H25" s="140" t="str">
        <f t="shared" si="2"/>
        <v>Normal</v>
      </c>
      <c r="I25" s="141">
        <v>38575</v>
      </c>
      <c r="J25" s="309">
        <f t="shared" ca="1" si="3"/>
        <v>18</v>
      </c>
      <c r="K25" s="142">
        <f t="shared" ca="1" si="4"/>
        <v>300000</v>
      </c>
      <c r="L25" s="310">
        <f t="shared" ca="1" si="5"/>
        <v>330000</v>
      </c>
    </row>
    <row r="26" spans="1:17">
      <c r="A26" s="119">
        <v>20</v>
      </c>
      <c r="B26" s="137" t="s">
        <v>430</v>
      </c>
      <c r="C26" s="137" t="s">
        <v>431</v>
      </c>
      <c r="D26" s="119" t="str">
        <f t="shared" si="0"/>
        <v>Sergio Antonio Córdova Gomez</v>
      </c>
      <c r="E26" s="138">
        <v>1.59</v>
      </c>
      <c r="F26" s="139">
        <v>47</v>
      </c>
      <c r="G26" s="138">
        <f t="shared" si="1"/>
        <v>18.591036746964122</v>
      </c>
      <c r="H26" s="140" t="str">
        <f t="shared" si="2"/>
        <v>Normal</v>
      </c>
      <c r="I26" s="141">
        <v>38922</v>
      </c>
      <c r="J26" s="309">
        <f t="shared" ca="1" si="3"/>
        <v>17</v>
      </c>
      <c r="K26" s="142">
        <f t="shared" ca="1" si="4"/>
        <v>300000</v>
      </c>
      <c r="L26" s="310">
        <f t="shared" ca="1" si="5"/>
        <v>330000</v>
      </c>
    </row>
    <row r="27" spans="1:17">
      <c r="A27" s="119">
        <v>21</v>
      </c>
      <c r="B27" s="137" t="s">
        <v>432</v>
      </c>
      <c r="C27" s="137" t="s">
        <v>433</v>
      </c>
      <c r="D27" s="119" t="str">
        <f t="shared" si="0"/>
        <v>Martin Humberto Laroca Vasquez</v>
      </c>
      <c r="E27" s="138">
        <v>1.59</v>
      </c>
      <c r="F27" s="139">
        <v>49</v>
      </c>
      <c r="G27" s="138">
        <f t="shared" si="1"/>
        <v>19.382144693643447</v>
      </c>
      <c r="H27" s="140" t="str">
        <f t="shared" si="2"/>
        <v>Normal</v>
      </c>
      <c r="I27" s="141">
        <v>38300</v>
      </c>
      <c r="J27" s="309">
        <f t="shared" ca="1" si="3"/>
        <v>19</v>
      </c>
      <c r="K27" s="142">
        <f t="shared" ca="1" si="4"/>
        <v>300000</v>
      </c>
      <c r="L27" s="310">
        <f t="shared" ca="1" si="5"/>
        <v>330000</v>
      </c>
      <c r="N27" s="212" t="s">
        <v>477</v>
      </c>
      <c r="O27" s="213"/>
    </row>
    <row r="28" spans="1:17">
      <c r="A28" s="119">
        <v>22</v>
      </c>
      <c r="B28" s="137" t="s">
        <v>434</v>
      </c>
      <c r="C28" s="137" t="s">
        <v>435</v>
      </c>
      <c r="D28" s="119" t="str">
        <f t="shared" si="0"/>
        <v>Brandon Stwear Garcia Quevedo</v>
      </c>
      <c r="E28" s="138">
        <v>1.7</v>
      </c>
      <c r="F28" s="139">
        <v>52</v>
      </c>
      <c r="G28" s="138">
        <f t="shared" si="1"/>
        <v>17.993079584775089</v>
      </c>
      <c r="H28" s="140" t="str">
        <f t="shared" si="2"/>
        <v>Falto de Peso</v>
      </c>
      <c r="I28" s="141">
        <v>39194</v>
      </c>
      <c r="J28" s="309">
        <f t="shared" ca="1" si="3"/>
        <v>16</v>
      </c>
      <c r="K28" s="142">
        <f t="shared" ca="1" si="4"/>
        <v>250000</v>
      </c>
      <c r="L28" s="310">
        <f t="shared" ca="1" si="5"/>
        <v>275000</v>
      </c>
      <c r="N28" s="116" t="s">
        <v>436</v>
      </c>
      <c r="O28" s="120">
        <f ca="1">COUNT(L7:L41)</f>
        <v>35</v>
      </c>
      <c r="P28" s="101" t="s">
        <v>366</v>
      </c>
      <c r="Q28" s="101" t="s">
        <v>437</v>
      </c>
    </row>
    <row r="29" spans="1:17">
      <c r="A29" s="119">
        <v>23</v>
      </c>
      <c r="B29" s="137" t="s">
        <v>438</v>
      </c>
      <c r="C29" s="137" t="s">
        <v>439</v>
      </c>
      <c r="D29" s="119" t="str">
        <f t="shared" si="0"/>
        <v>Richard André Palacios Valladares</v>
      </c>
      <c r="E29" s="138">
        <v>1.78</v>
      </c>
      <c r="F29" s="139">
        <v>53</v>
      </c>
      <c r="G29" s="138">
        <f t="shared" si="1"/>
        <v>16.72768589824517</v>
      </c>
      <c r="H29" s="140" t="str">
        <f t="shared" si="2"/>
        <v>Falto de Peso</v>
      </c>
      <c r="I29" s="141">
        <v>38645</v>
      </c>
      <c r="J29" s="309">
        <f t="shared" ca="1" si="3"/>
        <v>18</v>
      </c>
      <c r="K29" s="142">
        <f t="shared" ca="1" si="4"/>
        <v>300000</v>
      </c>
      <c r="L29" s="310">
        <f t="shared" ca="1" si="5"/>
        <v>330000</v>
      </c>
      <c r="N29" s="116" t="s">
        <v>440</v>
      </c>
      <c r="O29" s="117">
        <f ca="1">COUNTBLANK(L7:L41)</f>
        <v>0</v>
      </c>
      <c r="P29" s="101" t="s">
        <v>366</v>
      </c>
      <c r="Q29" s="101" t="s">
        <v>441</v>
      </c>
    </row>
    <row r="30" spans="1:17">
      <c r="A30" s="119">
        <v>24</v>
      </c>
      <c r="B30" s="137" t="s">
        <v>442</v>
      </c>
      <c r="C30" s="137" t="s">
        <v>443</v>
      </c>
      <c r="D30" s="119" t="str">
        <f t="shared" si="0"/>
        <v>Jorge André Pichilingue Pozo</v>
      </c>
      <c r="E30" s="138">
        <v>1.7</v>
      </c>
      <c r="F30" s="139">
        <v>54</v>
      </c>
      <c r="G30" s="138">
        <f t="shared" si="1"/>
        <v>18.68512110726644</v>
      </c>
      <c r="H30" s="140" t="str">
        <f t="shared" si="2"/>
        <v>Normal</v>
      </c>
      <c r="I30" s="141">
        <v>38998</v>
      </c>
      <c r="J30" s="309">
        <f t="shared" ca="1" si="3"/>
        <v>17</v>
      </c>
      <c r="K30" s="142">
        <f t="shared" ca="1" si="4"/>
        <v>300000</v>
      </c>
      <c r="L30" s="310">
        <f t="shared" ca="1" si="5"/>
        <v>330000</v>
      </c>
    </row>
    <row r="31" spans="1:17">
      <c r="A31" s="119">
        <v>25</v>
      </c>
      <c r="B31" s="137" t="s">
        <v>444</v>
      </c>
      <c r="C31" s="137" t="s">
        <v>445</v>
      </c>
      <c r="D31" s="119" t="str">
        <f t="shared" si="0"/>
        <v>Johnatan Eduardo Zapata Riofrio</v>
      </c>
      <c r="E31" s="138">
        <v>1.62</v>
      </c>
      <c r="F31" s="139">
        <v>54</v>
      </c>
      <c r="G31" s="138">
        <f t="shared" si="1"/>
        <v>20.576131687242793</v>
      </c>
      <c r="H31" s="140" t="str">
        <f t="shared" si="2"/>
        <v>Normal</v>
      </c>
      <c r="I31" s="141">
        <v>39718</v>
      </c>
      <c r="J31" s="309">
        <f t="shared" ca="1" si="3"/>
        <v>15</v>
      </c>
      <c r="K31" s="142">
        <f t="shared" ca="1" si="4"/>
        <v>250000</v>
      </c>
      <c r="L31" s="310">
        <f t="shared" ca="1" si="5"/>
        <v>275000</v>
      </c>
    </row>
    <row r="32" spans="1:17">
      <c r="A32" s="119">
        <v>26</v>
      </c>
      <c r="B32" s="137" t="s">
        <v>446</v>
      </c>
      <c r="C32" s="137" t="s">
        <v>447</v>
      </c>
      <c r="D32" s="119" t="str">
        <f t="shared" si="0"/>
        <v>Ernesto Vega Rojas</v>
      </c>
      <c r="E32" s="138">
        <v>1.57</v>
      </c>
      <c r="F32" s="139">
        <v>55</v>
      </c>
      <c r="G32" s="138">
        <f t="shared" si="1"/>
        <v>22.313278429145196</v>
      </c>
      <c r="H32" s="140" t="str">
        <f t="shared" si="2"/>
        <v>Normal</v>
      </c>
      <c r="I32" s="141">
        <v>39132</v>
      </c>
      <c r="J32" s="309">
        <f t="shared" ca="1" si="3"/>
        <v>17</v>
      </c>
      <c r="K32" s="142">
        <f t="shared" ca="1" si="4"/>
        <v>300000</v>
      </c>
      <c r="L32" s="310">
        <f t="shared" ca="1" si="5"/>
        <v>330000</v>
      </c>
    </row>
    <row r="33" spans="1:15">
      <c r="A33" s="119">
        <v>27</v>
      </c>
      <c r="B33" s="137" t="s">
        <v>448</v>
      </c>
      <c r="C33" s="137" t="s">
        <v>449</v>
      </c>
      <c r="D33" s="119" t="str">
        <f t="shared" si="0"/>
        <v>Juan Luis Sanchez Cordova</v>
      </c>
      <c r="E33" s="138">
        <v>1.43</v>
      </c>
      <c r="F33" s="139">
        <v>58</v>
      </c>
      <c r="G33" s="138">
        <f t="shared" si="1"/>
        <v>28.363245146461935</v>
      </c>
      <c r="H33" s="140" t="str">
        <f t="shared" si="2"/>
        <v>Con Sobre Peso</v>
      </c>
      <c r="I33" s="141">
        <v>39354</v>
      </c>
      <c r="J33" s="309">
        <f t="shared" ca="1" si="3"/>
        <v>16</v>
      </c>
      <c r="K33" s="142">
        <f t="shared" ca="1" si="4"/>
        <v>250000</v>
      </c>
      <c r="L33" s="310">
        <f t="shared" ca="1" si="5"/>
        <v>275000</v>
      </c>
      <c r="N33" s="214" t="s">
        <v>450</v>
      </c>
      <c r="O33" s="215"/>
    </row>
    <row r="34" spans="1:15">
      <c r="A34" s="119">
        <v>28</v>
      </c>
      <c r="B34" s="137" t="s">
        <v>451</v>
      </c>
      <c r="C34" s="137" t="s">
        <v>452</v>
      </c>
      <c r="D34" s="119" t="str">
        <f t="shared" si="0"/>
        <v>Ronald Vera Rivas</v>
      </c>
      <c r="E34" s="138">
        <v>1.51</v>
      </c>
      <c r="F34" s="139">
        <v>59</v>
      </c>
      <c r="G34" s="138">
        <f t="shared" si="1"/>
        <v>25.876058067628612</v>
      </c>
      <c r="H34" s="140" t="str">
        <f t="shared" si="2"/>
        <v>Con Sobre Peso</v>
      </c>
      <c r="I34" s="141">
        <v>38417</v>
      </c>
      <c r="J34" s="309">
        <f t="shared" ca="1" si="3"/>
        <v>18</v>
      </c>
      <c r="K34" s="142">
        <f t="shared" ca="1" si="4"/>
        <v>300000</v>
      </c>
      <c r="L34" s="310">
        <f t="shared" ca="1" si="5"/>
        <v>330000</v>
      </c>
      <c r="N34" s="121" t="s">
        <v>453</v>
      </c>
      <c r="O34" s="176">
        <f>MAX(E7:E41)</f>
        <v>1.8</v>
      </c>
    </row>
    <row r="35" spans="1:15">
      <c r="A35" s="119">
        <v>29</v>
      </c>
      <c r="B35" s="137" t="s">
        <v>454</v>
      </c>
      <c r="C35" s="137" t="s">
        <v>455</v>
      </c>
      <c r="D35" s="119" t="str">
        <f t="shared" si="0"/>
        <v>Victor Ignacio Carrrasco Iriarte</v>
      </c>
      <c r="E35" s="138">
        <v>1.63</v>
      </c>
      <c r="F35" s="139">
        <v>61</v>
      </c>
      <c r="G35" s="138">
        <f t="shared" si="1"/>
        <v>22.959087658549439</v>
      </c>
      <c r="H35" s="140" t="str">
        <f t="shared" si="2"/>
        <v>Normal</v>
      </c>
      <c r="I35" s="141">
        <v>39621</v>
      </c>
      <c r="J35" s="309">
        <f t="shared" ca="1" si="3"/>
        <v>15</v>
      </c>
      <c r="K35" s="142">
        <f t="shared" ca="1" si="4"/>
        <v>250000</v>
      </c>
      <c r="L35" s="310">
        <f t="shared" ca="1" si="5"/>
        <v>275000</v>
      </c>
      <c r="N35" s="121" t="s">
        <v>456</v>
      </c>
      <c r="O35" s="176">
        <f>MIN(E7:E41)</f>
        <v>1.43</v>
      </c>
    </row>
    <row r="36" spans="1:15">
      <c r="A36" s="119">
        <v>30</v>
      </c>
      <c r="B36" s="137" t="s">
        <v>457</v>
      </c>
      <c r="C36" s="137" t="s">
        <v>458</v>
      </c>
      <c r="D36" s="119" t="str">
        <f t="shared" si="0"/>
        <v>Roberto Carlos Salazar Chavez</v>
      </c>
      <c r="E36" s="138">
        <v>1.63</v>
      </c>
      <c r="F36" s="139">
        <v>61</v>
      </c>
      <c r="G36" s="138">
        <f t="shared" si="1"/>
        <v>22.959087658549439</v>
      </c>
      <c r="H36" s="140" t="str">
        <f t="shared" si="2"/>
        <v>Normal</v>
      </c>
      <c r="I36" s="141">
        <v>39566</v>
      </c>
      <c r="J36" s="309">
        <f t="shared" ca="1" si="3"/>
        <v>15</v>
      </c>
      <c r="K36" s="142">
        <f t="shared" ca="1" si="4"/>
        <v>250000</v>
      </c>
      <c r="L36" s="310">
        <f t="shared" ca="1" si="5"/>
        <v>275000</v>
      </c>
      <c r="N36" s="121" t="s">
        <v>459</v>
      </c>
      <c r="O36" s="176">
        <f>MAX(G7:G41)</f>
        <v>31.511501698119819</v>
      </c>
    </row>
    <row r="37" spans="1:15">
      <c r="A37" s="119">
        <v>31</v>
      </c>
      <c r="B37" s="137" t="s">
        <v>460</v>
      </c>
      <c r="C37" s="137" t="s">
        <v>461</v>
      </c>
      <c r="D37" s="119" t="str">
        <f t="shared" si="0"/>
        <v>Reiner David Vilchez Rodriguez</v>
      </c>
      <c r="E37" s="138">
        <v>1.58</v>
      </c>
      <c r="F37" s="139">
        <v>70</v>
      </c>
      <c r="G37" s="138">
        <f t="shared" si="1"/>
        <v>28.040378144528116</v>
      </c>
      <c r="H37" s="140" t="str">
        <f t="shared" si="2"/>
        <v>Con Sobre Peso</v>
      </c>
      <c r="I37" s="141">
        <v>38084</v>
      </c>
      <c r="J37" s="309">
        <f t="shared" ca="1" si="3"/>
        <v>19</v>
      </c>
      <c r="K37" s="142">
        <f t="shared" ca="1" si="4"/>
        <v>300000</v>
      </c>
      <c r="L37" s="310">
        <f t="shared" ca="1" si="5"/>
        <v>330000</v>
      </c>
      <c r="N37" s="121" t="s">
        <v>462</v>
      </c>
      <c r="O37" s="176">
        <f>MIN(G7:G41)</f>
        <v>16.72768589824517</v>
      </c>
    </row>
    <row r="38" spans="1:15">
      <c r="A38" s="119">
        <v>32</v>
      </c>
      <c r="B38" s="137" t="s">
        <v>463</v>
      </c>
      <c r="C38" s="137" t="s">
        <v>464</v>
      </c>
      <c r="D38" s="119" t="str">
        <f t="shared" si="0"/>
        <v>Walter David Cardoza Chero</v>
      </c>
      <c r="E38" s="138">
        <v>1.59</v>
      </c>
      <c r="F38" s="139">
        <v>72</v>
      </c>
      <c r="G38" s="138">
        <f t="shared" si="1"/>
        <v>28.479886080455675</v>
      </c>
      <c r="H38" s="140" t="str">
        <f t="shared" si="2"/>
        <v>Con Sobre Peso</v>
      </c>
      <c r="I38" s="141">
        <v>38565</v>
      </c>
      <c r="J38" s="309">
        <f t="shared" ca="1" si="3"/>
        <v>18</v>
      </c>
      <c r="K38" s="142">
        <f t="shared" ca="1" si="4"/>
        <v>300000</v>
      </c>
      <c r="L38" s="310">
        <f t="shared" ca="1" si="5"/>
        <v>330000</v>
      </c>
      <c r="N38" s="116" t="s">
        <v>465</v>
      </c>
      <c r="O38" s="175">
        <f ca="1">MAX(J7:J41)</f>
        <v>20</v>
      </c>
    </row>
    <row r="39" spans="1:15">
      <c r="A39" s="119">
        <v>33</v>
      </c>
      <c r="B39" s="137" t="s">
        <v>466</v>
      </c>
      <c r="C39" s="137" t="s">
        <v>467</v>
      </c>
      <c r="D39" s="119" t="str">
        <f t="shared" si="0"/>
        <v>Luigi Eduardo Nava Calderon</v>
      </c>
      <c r="E39" s="138">
        <v>1.73</v>
      </c>
      <c r="F39" s="139">
        <v>73</v>
      </c>
      <c r="G39" s="138">
        <f t="shared" si="1"/>
        <v>24.391058839252899</v>
      </c>
      <c r="H39" s="140" t="str">
        <f t="shared" si="2"/>
        <v>Normal</v>
      </c>
      <c r="I39" s="141">
        <v>38346</v>
      </c>
      <c r="J39" s="309">
        <f t="shared" ca="1" si="3"/>
        <v>19</v>
      </c>
      <c r="K39" s="142">
        <f t="shared" ca="1" si="4"/>
        <v>300000</v>
      </c>
      <c r="L39" s="310">
        <f t="shared" ca="1" si="5"/>
        <v>330000</v>
      </c>
      <c r="N39" s="116" t="s">
        <v>468</v>
      </c>
      <c r="O39" s="175">
        <f ca="1">MIN(J7:J41)</f>
        <v>15</v>
      </c>
    </row>
    <row r="40" spans="1:15">
      <c r="A40" s="119">
        <v>34</v>
      </c>
      <c r="B40" s="137" t="s">
        <v>469</v>
      </c>
      <c r="C40" s="137" t="s">
        <v>470</v>
      </c>
      <c r="D40" s="119" t="str">
        <f t="shared" si="0"/>
        <v>Jesus Emilio Guarnizo Chalco</v>
      </c>
      <c r="E40" s="138">
        <v>1.77</v>
      </c>
      <c r="F40" s="139">
        <v>78</v>
      </c>
      <c r="G40" s="138">
        <f t="shared" si="1"/>
        <v>24.897060231734173</v>
      </c>
      <c r="H40" s="140" t="str">
        <f t="shared" si="2"/>
        <v>Normal</v>
      </c>
      <c r="I40" s="141">
        <v>38728</v>
      </c>
      <c r="J40" s="309">
        <f t="shared" ca="1" si="3"/>
        <v>18</v>
      </c>
      <c r="K40" s="142">
        <f t="shared" ca="1" si="4"/>
        <v>300000</v>
      </c>
      <c r="L40" s="310">
        <f t="shared" ca="1" si="5"/>
        <v>330000</v>
      </c>
    </row>
    <row r="41" spans="1:15">
      <c r="A41" s="119">
        <v>35</v>
      </c>
      <c r="B41" s="137" t="s">
        <v>471</v>
      </c>
      <c r="C41" s="137" t="s">
        <v>472</v>
      </c>
      <c r="D41" s="119" t="str">
        <f t="shared" si="0"/>
        <v>Rocky Ray Rios Ruiz</v>
      </c>
      <c r="E41" s="138">
        <v>1.69</v>
      </c>
      <c r="F41" s="139">
        <v>90</v>
      </c>
      <c r="G41" s="138">
        <f t="shared" si="1"/>
        <v>31.511501698119819</v>
      </c>
      <c r="H41" s="140" t="str">
        <f t="shared" si="2"/>
        <v>Con Sobre Peso</v>
      </c>
      <c r="I41" s="141">
        <v>39028</v>
      </c>
      <c r="J41" s="309">
        <f t="shared" ca="1" si="3"/>
        <v>17</v>
      </c>
      <c r="K41" s="142">
        <f t="shared" ca="1" si="4"/>
        <v>300000</v>
      </c>
      <c r="L41" s="310">
        <f t="shared" ca="1" si="5"/>
        <v>330000</v>
      </c>
    </row>
    <row r="42" spans="1:15" ht="12.75">
      <c r="I42" s="216" t="str">
        <f ca="1">"TOTAL "&amp;YEAR(TODAY())</f>
        <v>TOTAL 2024</v>
      </c>
      <c r="J42" s="216"/>
      <c r="K42" s="216"/>
      <c r="L42" s="312">
        <f ca="1">SUM(L7:L41)</f>
        <v>10670000</v>
      </c>
      <c r="M42" s="122" t="s">
        <v>366</v>
      </c>
      <c r="N42" s="101" t="s">
        <v>473</v>
      </c>
    </row>
    <row r="43" spans="1:15" ht="12.75">
      <c r="M43" s="101"/>
      <c r="N43" s="101" t="s">
        <v>497</v>
      </c>
    </row>
  </sheetData>
  <sheetProtection formatCells="0" formatColumns="0" formatRows="0" selectLockedCells="1"/>
  <mergeCells count="10">
    <mergeCell ref="N19:O19"/>
    <mergeCell ref="N27:O27"/>
    <mergeCell ref="N33:O33"/>
    <mergeCell ref="I42:K42"/>
    <mergeCell ref="M1:O2"/>
    <mergeCell ref="A2:K2"/>
    <mergeCell ref="J3:K3"/>
    <mergeCell ref="A4:K4"/>
    <mergeCell ref="N4:O4"/>
    <mergeCell ref="N5:O5"/>
  </mergeCells>
  <pageMargins left="0.75" right="0.75" top="1" bottom="1" header="0" footer="0"/>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1" workbookViewId="0">
      <selection activeCell="G26" sqref="G26"/>
    </sheetView>
  </sheetViews>
  <sheetFormatPr baseColWidth="10" defaultRowHeight="15"/>
  <cols>
    <col min="1" max="1" width="14" customWidth="1"/>
    <col min="2" max="2" width="14.85546875" bestFit="1" customWidth="1"/>
    <col min="3" max="3" width="11.85546875" bestFit="1" customWidth="1"/>
    <col min="4" max="4" width="14.5703125" customWidth="1"/>
    <col min="5" max="5" width="4.5703125" customWidth="1"/>
    <col min="6" max="6" width="4.7109375" customWidth="1"/>
  </cols>
  <sheetData>
    <row r="1" spans="1:7" ht="20.25" thickTop="1" thickBot="1">
      <c r="A1" s="225" t="s">
        <v>0</v>
      </c>
      <c r="B1" s="226"/>
      <c r="C1" s="226"/>
      <c r="D1" s="227"/>
      <c r="F1" s="11" t="s">
        <v>17</v>
      </c>
    </row>
    <row r="2" spans="1:7" ht="16.5" thickTop="1" thickBot="1">
      <c r="A2" s="38" t="s">
        <v>486</v>
      </c>
      <c r="B2" s="2"/>
      <c r="C2" s="2"/>
      <c r="D2" s="2"/>
      <c r="F2" s="11" t="s">
        <v>15</v>
      </c>
      <c r="G2" t="s">
        <v>478</v>
      </c>
    </row>
    <row r="3" spans="1:7" ht="16.5" thickTop="1" thickBot="1">
      <c r="A3" s="14" t="s">
        <v>1</v>
      </c>
      <c r="B3" s="12"/>
      <c r="C3" s="16" t="s">
        <v>2</v>
      </c>
      <c r="D3" s="13"/>
      <c r="F3" s="11"/>
      <c r="G3" t="s">
        <v>292</v>
      </c>
    </row>
    <row r="4" spans="1:7" ht="15.75" thickBot="1">
      <c r="A4" s="15" t="s">
        <v>3</v>
      </c>
      <c r="B4" s="228">
        <v>100000</v>
      </c>
      <c r="C4" s="229"/>
      <c r="D4" s="230"/>
      <c r="G4" t="s">
        <v>293</v>
      </c>
    </row>
    <row r="5" spans="1:7" ht="16.5" thickTop="1" thickBot="1">
      <c r="A5" s="2"/>
      <c r="B5" s="2"/>
      <c r="C5" s="2"/>
      <c r="D5" s="2"/>
      <c r="F5" s="11" t="s">
        <v>16</v>
      </c>
      <c r="G5" t="s">
        <v>294</v>
      </c>
    </row>
    <row r="6" spans="1:7" ht="31.5" thickTop="1" thickBot="1">
      <c r="A6" s="3" t="s">
        <v>4</v>
      </c>
      <c r="B6" s="4" t="s">
        <v>256</v>
      </c>
      <c r="C6" s="4" t="s">
        <v>13</v>
      </c>
      <c r="D6" s="4" t="s">
        <v>14</v>
      </c>
    </row>
    <row r="7" spans="1:7" ht="16.5" thickBot="1">
      <c r="A7" s="49">
        <f ca="1">TODAY()-20</f>
        <v>45328</v>
      </c>
      <c r="B7" s="35" t="s">
        <v>5</v>
      </c>
      <c r="C7" s="6">
        <v>4</v>
      </c>
      <c r="D7" s="10">
        <f>$B$4/8*C7</f>
        <v>50000</v>
      </c>
    </row>
    <row r="8" spans="1:7" ht="16.5" thickBot="1">
      <c r="A8" s="49">
        <f ca="1">TODAY()-19</f>
        <v>45329</v>
      </c>
      <c r="B8" s="36" t="s">
        <v>6</v>
      </c>
      <c r="C8" s="7">
        <v>3.5</v>
      </c>
      <c r="D8" s="10">
        <f t="shared" ref="D8:D26" si="0">$B$4/8*C8</f>
        <v>43750</v>
      </c>
    </row>
    <row r="9" spans="1:7" ht="16.5" thickBot="1">
      <c r="A9" s="49">
        <f ca="1">TODAY()-18</f>
        <v>45330</v>
      </c>
      <c r="B9" s="36" t="s">
        <v>7</v>
      </c>
      <c r="C9" s="7">
        <v>2.5</v>
      </c>
      <c r="D9" s="10">
        <f t="shared" si="0"/>
        <v>31250</v>
      </c>
    </row>
    <row r="10" spans="1:7" ht="16.5" thickBot="1">
      <c r="A10" s="49">
        <f ca="1">TODAY()-17</f>
        <v>45331</v>
      </c>
      <c r="B10" s="36" t="s">
        <v>8</v>
      </c>
      <c r="C10" s="7">
        <v>7.5</v>
      </c>
      <c r="D10" s="10">
        <f t="shared" si="0"/>
        <v>93750</v>
      </c>
    </row>
    <row r="11" spans="1:7" ht="16.5" thickBot="1">
      <c r="A11" s="49">
        <f ca="1">TODAY()-16</f>
        <v>45332</v>
      </c>
      <c r="B11" s="36" t="s">
        <v>9</v>
      </c>
      <c r="C11" s="7">
        <v>8.5</v>
      </c>
      <c r="D11" s="10">
        <f t="shared" si="0"/>
        <v>106250</v>
      </c>
    </row>
    <row r="12" spans="1:7" ht="16.5" thickBot="1">
      <c r="A12" s="49">
        <f ca="1">TODAY()-15</f>
        <v>45333</v>
      </c>
      <c r="B12" s="36" t="s">
        <v>10</v>
      </c>
      <c r="C12" s="7">
        <v>4</v>
      </c>
      <c r="D12" s="10">
        <f t="shared" si="0"/>
        <v>50000</v>
      </c>
    </row>
    <row r="13" spans="1:7" ht="16.5" thickBot="1">
      <c r="A13" s="49">
        <f ca="1">TODAY()-14</f>
        <v>45334</v>
      </c>
      <c r="B13" s="36" t="s">
        <v>11</v>
      </c>
      <c r="C13" s="7">
        <v>6.5</v>
      </c>
      <c r="D13" s="10">
        <f t="shared" si="0"/>
        <v>81250</v>
      </c>
    </row>
    <row r="14" spans="1:7" ht="16.5" thickBot="1">
      <c r="A14" s="49">
        <f ca="1">TODAY()-13</f>
        <v>45335</v>
      </c>
      <c r="B14" s="36" t="s">
        <v>5</v>
      </c>
      <c r="C14" s="8">
        <v>5</v>
      </c>
      <c r="D14" s="10">
        <f t="shared" si="0"/>
        <v>62500</v>
      </c>
    </row>
    <row r="15" spans="1:7" ht="16.5" thickBot="1">
      <c r="A15" s="49">
        <f ca="1">TODAY()-13</f>
        <v>45335</v>
      </c>
      <c r="B15" s="36" t="s">
        <v>6</v>
      </c>
      <c r="C15" s="8">
        <v>5</v>
      </c>
      <c r="D15" s="10">
        <f t="shared" si="0"/>
        <v>62500</v>
      </c>
    </row>
    <row r="16" spans="1:7" ht="16.5" thickBot="1">
      <c r="A16" s="49">
        <f ca="1">TODAY()-12</f>
        <v>45336</v>
      </c>
      <c r="B16" s="36" t="s">
        <v>7</v>
      </c>
      <c r="C16" s="8">
        <v>7</v>
      </c>
      <c r="D16" s="10">
        <f t="shared" si="0"/>
        <v>87500</v>
      </c>
    </row>
    <row r="17" spans="1:4" ht="16.5" thickBot="1">
      <c r="A17" s="49">
        <f ca="1">TODAY()-11</f>
        <v>45337</v>
      </c>
      <c r="B17" s="36" t="s">
        <v>8</v>
      </c>
      <c r="C17" s="8">
        <v>7</v>
      </c>
      <c r="D17" s="10">
        <f t="shared" si="0"/>
        <v>87500</v>
      </c>
    </row>
    <row r="18" spans="1:4" ht="16.5" thickBot="1">
      <c r="A18" s="49">
        <f ca="1">TODAY()-10</f>
        <v>45338</v>
      </c>
      <c r="B18" s="36" t="s">
        <v>9</v>
      </c>
      <c r="C18" s="8">
        <v>3</v>
      </c>
      <c r="D18" s="10">
        <f t="shared" si="0"/>
        <v>37500</v>
      </c>
    </row>
    <row r="19" spans="1:4" ht="16.5" thickBot="1">
      <c r="A19" s="49">
        <f ca="1">TODAY()-10</f>
        <v>45338</v>
      </c>
      <c r="B19" s="36" t="s">
        <v>10</v>
      </c>
      <c r="C19" s="8">
        <v>4</v>
      </c>
      <c r="D19" s="10">
        <f t="shared" si="0"/>
        <v>50000</v>
      </c>
    </row>
    <row r="20" spans="1:4" ht="16.5" thickBot="1">
      <c r="A20" s="49">
        <f ca="1">TODAY()-9</f>
        <v>45339</v>
      </c>
      <c r="B20" s="36" t="s">
        <v>11</v>
      </c>
      <c r="C20" s="8">
        <v>7</v>
      </c>
      <c r="D20" s="10">
        <f t="shared" si="0"/>
        <v>87500</v>
      </c>
    </row>
    <row r="21" spans="1:4" ht="16.5" thickBot="1">
      <c r="A21" s="49">
        <f ca="1">TODAY()-8</f>
        <v>45340</v>
      </c>
      <c r="B21" s="36" t="s">
        <v>9</v>
      </c>
      <c r="C21" s="8">
        <v>4</v>
      </c>
      <c r="D21" s="10">
        <f t="shared" si="0"/>
        <v>50000</v>
      </c>
    </row>
    <row r="22" spans="1:4" ht="16.5" thickBot="1">
      <c r="A22" s="49">
        <f ca="1">TODAY()-7</f>
        <v>45341</v>
      </c>
      <c r="B22" s="36" t="s">
        <v>10</v>
      </c>
      <c r="C22" s="8">
        <v>5</v>
      </c>
      <c r="D22" s="10">
        <f t="shared" si="0"/>
        <v>62500</v>
      </c>
    </row>
    <row r="23" spans="1:4" ht="16.5" thickBot="1">
      <c r="A23" s="49">
        <f ca="1">TODAY()-6</f>
        <v>45342</v>
      </c>
      <c r="B23" s="36" t="s">
        <v>11</v>
      </c>
      <c r="C23" s="8">
        <v>4</v>
      </c>
      <c r="D23" s="10">
        <f t="shared" si="0"/>
        <v>50000</v>
      </c>
    </row>
    <row r="24" spans="1:4" ht="16.5" thickBot="1">
      <c r="A24" s="49">
        <f ca="1">TODAY()-5</f>
        <v>45343</v>
      </c>
      <c r="B24" s="36" t="s">
        <v>5</v>
      </c>
      <c r="C24" s="8">
        <v>5</v>
      </c>
      <c r="D24" s="10">
        <f t="shared" si="0"/>
        <v>62500</v>
      </c>
    </row>
    <row r="25" spans="1:4" ht="16.5" thickBot="1">
      <c r="A25" s="49">
        <f ca="1">TODAY()-4</f>
        <v>45344</v>
      </c>
      <c r="B25" s="36" t="s">
        <v>6</v>
      </c>
      <c r="C25" s="8">
        <v>5</v>
      </c>
      <c r="D25" s="10">
        <f t="shared" si="0"/>
        <v>62500</v>
      </c>
    </row>
    <row r="26" spans="1:4" ht="16.5" thickBot="1">
      <c r="A26" s="49">
        <f ca="1">TODAY()-3</f>
        <v>45345</v>
      </c>
      <c r="B26" s="37" t="s">
        <v>7</v>
      </c>
      <c r="C26" s="9">
        <v>3</v>
      </c>
      <c r="D26" s="10">
        <f t="shared" si="0"/>
        <v>37500</v>
      </c>
    </row>
    <row r="27" spans="1:4" ht="33" customHeight="1" thickBot="1">
      <c r="C27" s="58" t="s">
        <v>316</v>
      </c>
      <c r="D27" s="57">
        <f>SUM(D7:D26)</f>
        <v>1256250</v>
      </c>
    </row>
  </sheetData>
  <mergeCells count="2">
    <mergeCell ref="A1:D1"/>
    <mergeCell ref="B4:D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B1" zoomScaleNormal="100" workbookViewId="0">
      <selection activeCell="F60" sqref="F60:H60"/>
    </sheetView>
  </sheetViews>
  <sheetFormatPr baseColWidth="10" defaultRowHeight="15"/>
  <cols>
    <col min="1" max="1" width="31.7109375" customWidth="1"/>
    <col min="2" max="2" width="21" bestFit="1" customWidth="1"/>
    <col min="5" max="5" width="12" customWidth="1"/>
    <col min="6" max="6" width="14.85546875" customWidth="1"/>
    <col min="7" max="7" width="13.5703125" customWidth="1"/>
    <col min="8" max="8" width="13.28515625" bestFit="1" customWidth="1"/>
    <col min="9" max="9" width="12.28515625" bestFit="1" customWidth="1"/>
  </cols>
  <sheetData>
    <row r="1" spans="1:9" ht="23.25">
      <c r="A1" s="235" t="s">
        <v>290</v>
      </c>
      <c r="B1" s="236"/>
      <c r="C1" s="236"/>
      <c r="D1" s="236"/>
      <c r="E1" s="236"/>
      <c r="F1" s="236"/>
      <c r="G1" s="236"/>
      <c r="H1" s="236"/>
      <c r="I1" s="39" t="s">
        <v>496</v>
      </c>
    </row>
    <row r="2" spans="1:9" ht="15.75" thickBot="1">
      <c r="A2" s="237" t="s">
        <v>347</v>
      </c>
      <c r="B2" s="237"/>
      <c r="C2" s="1"/>
      <c r="D2" s="17" t="s">
        <v>57</v>
      </c>
      <c r="E2" s="1"/>
      <c r="F2" s="1"/>
    </row>
    <row r="3" spans="1:9" ht="16.5" thickBot="1">
      <c r="A3" s="77" t="s">
        <v>55</v>
      </c>
      <c r="B3" s="79">
        <v>250000</v>
      </c>
      <c r="C3" s="1"/>
      <c r="D3" s="48" t="s">
        <v>500</v>
      </c>
      <c r="E3" s="1"/>
      <c r="F3" s="1"/>
    </row>
    <row r="4" spans="1:9" ht="16.5" thickBot="1">
      <c r="A4" s="78" t="s">
        <v>487</v>
      </c>
      <c r="B4" s="80">
        <v>0.1</v>
      </c>
      <c r="C4" s="1"/>
      <c r="D4" s="48" t="s">
        <v>295</v>
      </c>
      <c r="E4" s="1"/>
      <c r="F4" s="1"/>
    </row>
    <row r="5" spans="1:9" ht="16.5" thickBot="1">
      <c r="A5" s="77" t="s">
        <v>56</v>
      </c>
      <c r="B5" s="81">
        <v>5000</v>
      </c>
      <c r="C5" s="1"/>
      <c r="D5" s="48" t="s">
        <v>296</v>
      </c>
      <c r="E5" s="1"/>
      <c r="F5" s="1"/>
    </row>
    <row r="6" spans="1:9">
      <c r="A6" s="1"/>
      <c r="B6" s="1"/>
      <c r="C6" s="1"/>
      <c r="D6" s="48" t="s">
        <v>501</v>
      </c>
      <c r="E6" s="1"/>
      <c r="F6" s="1"/>
    </row>
    <row r="7" spans="1:9" ht="78.75">
      <c r="A7" s="97" t="s">
        <v>18</v>
      </c>
      <c r="B7" s="97" t="s">
        <v>19</v>
      </c>
      <c r="C7" s="97" t="s">
        <v>498</v>
      </c>
      <c r="D7" s="97" t="s">
        <v>499</v>
      </c>
      <c r="E7" s="97" t="s">
        <v>257</v>
      </c>
      <c r="F7" s="97" t="s">
        <v>258</v>
      </c>
      <c r="G7" s="97" t="s">
        <v>259</v>
      </c>
      <c r="H7" s="97" t="s">
        <v>260</v>
      </c>
    </row>
    <row r="8" spans="1:9">
      <c r="A8" s="20" t="s">
        <v>25</v>
      </c>
      <c r="B8" s="20" t="s">
        <v>20</v>
      </c>
      <c r="C8" s="19">
        <f>IF(B8="Ingeniería de Sistemas",2950000,IF(B8="Administración",2650000,IF(B8="Contaduría",2550000,IF(B8="Derecho",2800000,3020000))))</f>
        <v>2950000</v>
      </c>
      <c r="D8" s="19">
        <f>C8*10%+C8</f>
        <v>3245000</v>
      </c>
      <c r="E8" s="21">
        <v>0</v>
      </c>
      <c r="F8" s="158">
        <f>E8*B3</f>
        <v>0</v>
      </c>
      <c r="G8" s="158">
        <f>5000*E8</f>
        <v>0</v>
      </c>
      <c r="H8" s="158">
        <f>D8+F8+G8</f>
        <v>3245000</v>
      </c>
    </row>
    <row r="9" spans="1:9">
      <c r="A9" s="20" t="s">
        <v>26</v>
      </c>
      <c r="B9" s="20" t="s">
        <v>21</v>
      </c>
      <c r="C9" s="19">
        <f t="shared" ref="C9:C57" si="0">IF(B9="Ingeniería de Sistemas",2950000,IF(B9="Administración",2650000,IF(B9="Contaduría",2550000,IF(B9="Derecho",2800000,3020000))))</f>
        <v>2650000</v>
      </c>
      <c r="D9" s="19">
        <f t="shared" ref="D9:D57" si="1">C9*10%+C9</f>
        <v>2915000</v>
      </c>
      <c r="E9" s="21">
        <v>3</v>
      </c>
      <c r="F9" s="158">
        <f>B3*E9</f>
        <v>750000</v>
      </c>
      <c r="G9" s="158">
        <f t="shared" ref="G9:G57" si="2">5000*E9</f>
        <v>15000</v>
      </c>
      <c r="H9" s="158">
        <f t="shared" ref="H9:H57" si="3">D9+F9+G9</f>
        <v>3680000</v>
      </c>
    </row>
    <row r="10" spans="1:9">
      <c r="A10" s="20" t="s">
        <v>27</v>
      </c>
      <c r="B10" s="20" t="s">
        <v>22</v>
      </c>
      <c r="C10" s="19">
        <f t="shared" si="0"/>
        <v>2550000</v>
      </c>
      <c r="D10" s="19">
        <f t="shared" si="1"/>
        <v>2805000</v>
      </c>
      <c r="E10" s="21">
        <v>4</v>
      </c>
      <c r="F10" s="158">
        <f>E10*B3</f>
        <v>1000000</v>
      </c>
      <c r="G10" s="158">
        <f t="shared" si="2"/>
        <v>20000</v>
      </c>
      <c r="H10" s="158">
        <f t="shared" si="3"/>
        <v>3825000</v>
      </c>
    </row>
    <row r="11" spans="1:9">
      <c r="A11" s="20" t="s">
        <v>28</v>
      </c>
      <c r="B11" s="20" t="s">
        <v>23</v>
      </c>
      <c r="C11" s="19">
        <f t="shared" si="0"/>
        <v>2800000</v>
      </c>
      <c r="D11" s="19">
        <f t="shared" si="1"/>
        <v>3080000</v>
      </c>
      <c r="E11" s="21">
        <v>1</v>
      </c>
      <c r="F11" s="158">
        <f>250000*E11</f>
        <v>250000</v>
      </c>
      <c r="G11" s="158">
        <f t="shared" si="2"/>
        <v>5000</v>
      </c>
      <c r="H11" s="158">
        <f t="shared" si="3"/>
        <v>3335000</v>
      </c>
    </row>
    <row r="12" spans="1:9">
      <c r="A12" s="20" t="s">
        <v>29</v>
      </c>
      <c r="B12" s="20" t="s">
        <v>24</v>
      </c>
      <c r="C12" s="19">
        <f t="shared" si="0"/>
        <v>3020000</v>
      </c>
      <c r="D12" s="19">
        <f t="shared" si="1"/>
        <v>3322000</v>
      </c>
      <c r="E12" s="21">
        <v>2</v>
      </c>
      <c r="F12" s="158">
        <f t="shared" ref="F12:F57" si="4">250000*E12</f>
        <v>500000</v>
      </c>
      <c r="G12" s="158">
        <f t="shared" si="2"/>
        <v>10000</v>
      </c>
      <c r="H12" s="158">
        <f t="shared" si="3"/>
        <v>3832000</v>
      </c>
    </row>
    <row r="13" spans="1:9">
      <c r="A13" s="5" t="s">
        <v>269</v>
      </c>
      <c r="B13" s="20" t="s">
        <v>21</v>
      </c>
      <c r="C13" s="19">
        <f t="shared" si="0"/>
        <v>2650000</v>
      </c>
      <c r="D13" s="19">
        <f t="shared" si="1"/>
        <v>2915000</v>
      </c>
      <c r="E13" s="44">
        <v>0</v>
      </c>
      <c r="F13" s="158">
        <f t="shared" si="4"/>
        <v>0</v>
      </c>
      <c r="G13" s="158">
        <f t="shared" si="2"/>
        <v>0</v>
      </c>
      <c r="H13" s="158">
        <f t="shared" si="3"/>
        <v>2915000</v>
      </c>
    </row>
    <row r="14" spans="1:9">
      <c r="A14" s="5" t="s">
        <v>274</v>
      </c>
      <c r="B14" s="20" t="s">
        <v>21</v>
      </c>
      <c r="C14" s="19">
        <f t="shared" si="0"/>
        <v>2650000</v>
      </c>
      <c r="D14" s="19">
        <f t="shared" si="1"/>
        <v>2915000</v>
      </c>
      <c r="E14" s="44">
        <v>2</v>
      </c>
      <c r="F14" s="158">
        <f t="shared" si="4"/>
        <v>500000</v>
      </c>
      <c r="G14" s="158">
        <f t="shared" si="2"/>
        <v>10000</v>
      </c>
      <c r="H14" s="158">
        <f t="shared" si="3"/>
        <v>3425000</v>
      </c>
    </row>
    <row r="15" spans="1:9">
      <c r="A15" s="5" t="s">
        <v>283</v>
      </c>
      <c r="B15" s="20" t="s">
        <v>24</v>
      </c>
      <c r="C15" s="19">
        <f t="shared" si="0"/>
        <v>3020000</v>
      </c>
      <c r="D15" s="19">
        <f t="shared" si="1"/>
        <v>3322000</v>
      </c>
      <c r="E15" s="44">
        <v>1</v>
      </c>
      <c r="F15" s="158">
        <f t="shared" si="4"/>
        <v>250000</v>
      </c>
      <c r="G15" s="158">
        <f t="shared" si="2"/>
        <v>5000</v>
      </c>
      <c r="H15" s="158">
        <f t="shared" si="3"/>
        <v>3577000</v>
      </c>
    </row>
    <row r="16" spans="1:9">
      <c r="A16" s="5" t="s">
        <v>284</v>
      </c>
      <c r="B16" s="20" t="s">
        <v>20</v>
      </c>
      <c r="C16" s="19">
        <f t="shared" si="0"/>
        <v>2950000</v>
      </c>
      <c r="D16" s="19">
        <f t="shared" si="1"/>
        <v>3245000</v>
      </c>
      <c r="E16" s="44">
        <v>3</v>
      </c>
      <c r="F16" s="158">
        <f t="shared" si="4"/>
        <v>750000</v>
      </c>
      <c r="G16" s="158">
        <f t="shared" si="2"/>
        <v>15000</v>
      </c>
      <c r="H16" s="158">
        <f t="shared" si="3"/>
        <v>4010000</v>
      </c>
    </row>
    <row r="17" spans="1:8">
      <c r="A17" s="5" t="s">
        <v>270</v>
      </c>
      <c r="B17" s="20" t="s">
        <v>22</v>
      </c>
      <c r="C17" s="19">
        <f t="shared" si="0"/>
        <v>2550000</v>
      </c>
      <c r="D17" s="19">
        <f t="shared" si="1"/>
        <v>2805000</v>
      </c>
      <c r="E17" s="44">
        <v>1</v>
      </c>
      <c r="F17" s="158">
        <f t="shared" si="4"/>
        <v>250000</v>
      </c>
      <c r="G17" s="158">
        <f t="shared" si="2"/>
        <v>5000</v>
      </c>
      <c r="H17" s="158">
        <f t="shared" si="3"/>
        <v>3060000</v>
      </c>
    </row>
    <row r="18" spans="1:8">
      <c r="A18" s="20" t="s">
        <v>30</v>
      </c>
      <c r="B18" s="20" t="s">
        <v>20</v>
      </c>
      <c r="C18" s="19">
        <f t="shared" si="0"/>
        <v>2950000</v>
      </c>
      <c r="D18" s="19">
        <f t="shared" si="1"/>
        <v>3245000</v>
      </c>
      <c r="E18" s="21">
        <v>4</v>
      </c>
      <c r="F18" s="158">
        <f t="shared" si="4"/>
        <v>1000000</v>
      </c>
      <c r="G18" s="158">
        <f t="shared" si="2"/>
        <v>20000</v>
      </c>
      <c r="H18" s="158">
        <f t="shared" si="3"/>
        <v>4265000</v>
      </c>
    </row>
    <row r="19" spans="1:8">
      <c r="A19" s="5" t="s">
        <v>268</v>
      </c>
      <c r="B19" s="20" t="s">
        <v>24</v>
      </c>
      <c r="C19" s="19">
        <f t="shared" si="0"/>
        <v>3020000</v>
      </c>
      <c r="D19" s="19">
        <f t="shared" si="1"/>
        <v>3322000</v>
      </c>
      <c r="E19" s="44">
        <v>1</v>
      </c>
      <c r="F19" s="158">
        <f t="shared" si="4"/>
        <v>250000</v>
      </c>
      <c r="G19" s="158">
        <f t="shared" si="2"/>
        <v>5000</v>
      </c>
      <c r="H19" s="158">
        <f t="shared" si="3"/>
        <v>3577000</v>
      </c>
    </row>
    <row r="20" spans="1:8">
      <c r="A20" s="5" t="s">
        <v>272</v>
      </c>
      <c r="B20" s="20" t="s">
        <v>24</v>
      </c>
      <c r="C20" s="19">
        <f t="shared" si="0"/>
        <v>3020000</v>
      </c>
      <c r="D20" s="19">
        <f t="shared" si="1"/>
        <v>3322000</v>
      </c>
      <c r="E20" s="44">
        <v>3</v>
      </c>
      <c r="F20" s="158">
        <f t="shared" si="4"/>
        <v>750000</v>
      </c>
      <c r="G20" s="158">
        <f t="shared" si="2"/>
        <v>15000</v>
      </c>
      <c r="H20" s="158">
        <f t="shared" si="3"/>
        <v>4087000</v>
      </c>
    </row>
    <row r="21" spans="1:8">
      <c r="A21" s="20" t="s">
        <v>31</v>
      </c>
      <c r="B21" s="20" t="s">
        <v>21</v>
      </c>
      <c r="C21" s="19">
        <f t="shared" si="0"/>
        <v>2650000</v>
      </c>
      <c r="D21" s="19">
        <f t="shared" si="1"/>
        <v>2915000</v>
      </c>
      <c r="E21" s="21">
        <v>3</v>
      </c>
      <c r="F21" s="158">
        <f t="shared" si="4"/>
        <v>750000</v>
      </c>
      <c r="G21" s="158">
        <f t="shared" si="2"/>
        <v>15000</v>
      </c>
      <c r="H21" s="158">
        <f t="shared" si="3"/>
        <v>3680000</v>
      </c>
    </row>
    <row r="22" spans="1:8">
      <c r="A22" s="20" t="s">
        <v>32</v>
      </c>
      <c r="B22" s="20" t="s">
        <v>22</v>
      </c>
      <c r="C22" s="19">
        <f t="shared" si="0"/>
        <v>2550000</v>
      </c>
      <c r="D22" s="19">
        <f t="shared" si="1"/>
        <v>2805000</v>
      </c>
      <c r="E22" s="21">
        <v>3</v>
      </c>
      <c r="F22" s="158">
        <f t="shared" si="4"/>
        <v>750000</v>
      </c>
      <c r="G22" s="158">
        <f t="shared" si="2"/>
        <v>15000</v>
      </c>
      <c r="H22" s="158">
        <f t="shared" si="3"/>
        <v>3570000</v>
      </c>
    </row>
    <row r="23" spans="1:8">
      <c r="A23" s="5" t="s">
        <v>279</v>
      </c>
      <c r="B23" s="20" t="s">
        <v>20</v>
      </c>
      <c r="C23" s="19">
        <f t="shared" si="0"/>
        <v>2950000</v>
      </c>
      <c r="D23" s="19">
        <f t="shared" si="1"/>
        <v>3245000</v>
      </c>
      <c r="E23" s="44">
        <v>0</v>
      </c>
      <c r="F23" s="158">
        <f t="shared" si="4"/>
        <v>0</v>
      </c>
      <c r="G23" s="158">
        <f t="shared" si="2"/>
        <v>0</v>
      </c>
      <c r="H23" s="158">
        <f t="shared" si="3"/>
        <v>3245000</v>
      </c>
    </row>
    <row r="24" spans="1:8">
      <c r="A24" s="20" t="s">
        <v>33</v>
      </c>
      <c r="B24" s="20" t="s">
        <v>23</v>
      </c>
      <c r="C24" s="19">
        <f t="shared" si="0"/>
        <v>2800000</v>
      </c>
      <c r="D24" s="19">
        <f t="shared" si="1"/>
        <v>3080000</v>
      </c>
      <c r="E24" s="21">
        <v>3</v>
      </c>
      <c r="F24" s="158">
        <f t="shared" si="4"/>
        <v>750000</v>
      </c>
      <c r="G24" s="158">
        <f t="shared" si="2"/>
        <v>15000</v>
      </c>
      <c r="H24" s="158">
        <f t="shared" si="3"/>
        <v>3845000</v>
      </c>
    </row>
    <row r="25" spans="1:8">
      <c r="A25" s="20" t="s">
        <v>34</v>
      </c>
      <c r="B25" s="20" t="s">
        <v>24</v>
      </c>
      <c r="C25" s="19">
        <f t="shared" si="0"/>
        <v>3020000</v>
      </c>
      <c r="D25" s="19">
        <f t="shared" si="1"/>
        <v>3322000</v>
      </c>
      <c r="E25" s="21">
        <v>4</v>
      </c>
      <c r="F25" s="158">
        <f t="shared" si="4"/>
        <v>1000000</v>
      </c>
      <c r="G25" s="158">
        <f t="shared" si="2"/>
        <v>20000</v>
      </c>
      <c r="H25" s="158">
        <f t="shared" si="3"/>
        <v>4342000</v>
      </c>
    </row>
    <row r="26" spans="1:8">
      <c r="A26" s="20" t="s">
        <v>35</v>
      </c>
      <c r="B26" s="20" t="s">
        <v>20</v>
      </c>
      <c r="C26" s="19">
        <f t="shared" si="0"/>
        <v>2950000</v>
      </c>
      <c r="D26" s="19">
        <f t="shared" si="1"/>
        <v>3245000</v>
      </c>
      <c r="E26" s="21">
        <v>2</v>
      </c>
      <c r="F26" s="158">
        <f t="shared" si="4"/>
        <v>500000</v>
      </c>
      <c r="G26" s="158">
        <f t="shared" si="2"/>
        <v>10000</v>
      </c>
      <c r="H26" s="158">
        <f t="shared" si="3"/>
        <v>3755000</v>
      </c>
    </row>
    <row r="27" spans="1:8">
      <c r="A27" s="5" t="s">
        <v>273</v>
      </c>
      <c r="B27" s="20" t="s">
        <v>20</v>
      </c>
      <c r="C27" s="19">
        <f t="shared" si="0"/>
        <v>2950000</v>
      </c>
      <c r="D27" s="19">
        <f t="shared" si="1"/>
        <v>3245000</v>
      </c>
      <c r="E27" s="44">
        <v>1</v>
      </c>
      <c r="F27" s="158">
        <f t="shared" si="4"/>
        <v>250000</v>
      </c>
      <c r="G27" s="158">
        <f t="shared" si="2"/>
        <v>5000</v>
      </c>
      <c r="H27" s="158">
        <f t="shared" si="3"/>
        <v>3500000</v>
      </c>
    </row>
    <row r="28" spans="1:8">
      <c r="A28" s="5" t="s">
        <v>282</v>
      </c>
      <c r="B28" s="20" t="s">
        <v>23</v>
      </c>
      <c r="C28" s="19">
        <f t="shared" si="0"/>
        <v>2800000</v>
      </c>
      <c r="D28" s="19">
        <f t="shared" si="1"/>
        <v>3080000</v>
      </c>
      <c r="E28" s="44">
        <v>2</v>
      </c>
      <c r="F28" s="158">
        <f t="shared" si="4"/>
        <v>500000</v>
      </c>
      <c r="G28" s="158">
        <f t="shared" si="2"/>
        <v>10000</v>
      </c>
      <c r="H28" s="158">
        <f t="shared" si="3"/>
        <v>3590000</v>
      </c>
    </row>
    <row r="29" spans="1:8">
      <c r="A29" s="20" t="s">
        <v>36</v>
      </c>
      <c r="B29" s="20" t="s">
        <v>21</v>
      </c>
      <c r="C29" s="19">
        <f t="shared" si="0"/>
        <v>2650000</v>
      </c>
      <c r="D29" s="19">
        <f t="shared" si="1"/>
        <v>2915000</v>
      </c>
      <c r="E29" s="21">
        <v>4</v>
      </c>
      <c r="F29" s="158">
        <f t="shared" si="4"/>
        <v>1000000</v>
      </c>
      <c r="G29" s="158">
        <f t="shared" si="2"/>
        <v>20000</v>
      </c>
      <c r="H29" s="158">
        <f t="shared" si="3"/>
        <v>3935000</v>
      </c>
    </row>
    <row r="30" spans="1:8">
      <c r="A30" s="20" t="s">
        <v>37</v>
      </c>
      <c r="B30" s="20" t="s">
        <v>22</v>
      </c>
      <c r="C30" s="19">
        <f t="shared" si="0"/>
        <v>2550000</v>
      </c>
      <c r="D30" s="19">
        <f t="shared" si="1"/>
        <v>2805000</v>
      </c>
      <c r="E30" s="21">
        <v>2</v>
      </c>
      <c r="F30" s="158">
        <f t="shared" si="4"/>
        <v>500000</v>
      </c>
      <c r="G30" s="158">
        <f t="shared" si="2"/>
        <v>10000</v>
      </c>
      <c r="H30" s="158">
        <f t="shared" si="3"/>
        <v>3315000</v>
      </c>
    </row>
    <row r="31" spans="1:8">
      <c r="A31" s="20" t="s">
        <v>38</v>
      </c>
      <c r="B31" s="20" t="s">
        <v>23</v>
      </c>
      <c r="C31" s="19">
        <f t="shared" si="0"/>
        <v>2800000</v>
      </c>
      <c r="D31" s="19">
        <f t="shared" si="1"/>
        <v>3080000</v>
      </c>
      <c r="E31" s="21">
        <v>0</v>
      </c>
      <c r="F31" s="158">
        <f t="shared" si="4"/>
        <v>0</v>
      </c>
      <c r="G31" s="158">
        <f t="shared" si="2"/>
        <v>0</v>
      </c>
      <c r="H31" s="158">
        <f t="shared" si="3"/>
        <v>3080000</v>
      </c>
    </row>
    <row r="32" spans="1:8">
      <c r="A32" s="20" t="s">
        <v>39</v>
      </c>
      <c r="B32" s="20" t="s">
        <v>24</v>
      </c>
      <c r="C32" s="19">
        <f t="shared" si="0"/>
        <v>3020000</v>
      </c>
      <c r="D32" s="19">
        <f t="shared" si="1"/>
        <v>3322000</v>
      </c>
      <c r="E32" s="21">
        <v>1</v>
      </c>
      <c r="F32" s="158">
        <f t="shared" si="4"/>
        <v>250000</v>
      </c>
      <c r="G32" s="158">
        <f t="shared" si="2"/>
        <v>5000</v>
      </c>
      <c r="H32" s="158">
        <f t="shared" si="3"/>
        <v>3577000</v>
      </c>
    </row>
    <row r="33" spans="1:8">
      <c r="A33" s="5" t="s">
        <v>285</v>
      </c>
      <c r="B33" s="20" t="s">
        <v>21</v>
      </c>
      <c r="C33" s="19">
        <f t="shared" si="0"/>
        <v>2650000</v>
      </c>
      <c r="D33" s="19">
        <f t="shared" si="1"/>
        <v>2915000</v>
      </c>
      <c r="E33" s="44">
        <v>2</v>
      </c>
      <c r="F33" s="158">
        <f t="shared" si="4"/>
        <v>500000</v>
      </c>
      <c r="G33" s="158">
        <f t="shared" si="2"/>
        <v>10000</v>
      </c>
      <c r="H33" s="158">
        <f t="shared" si="3"/>
        <v>3425000</v>
      </c>
    </row>
    <row r="34" spans="1:8">
      <c r="A34" s="5" t="s">
        <v>276</v>
      </c>
      <c r="B34" s="20" t="s">
        <v>22</v>
      </c>
      <c r="C34" s="19">
        <f t="shared" si="0"/>
        <v>2550000</v>
      </c>
      <c r="D34" s="19">
        <f t="shared" si="1"/>
        <v>2805000</v>
      </c>
      <c r="E34" s="44">
        <v>1</v>
      </c>
      <c r="F34" s="158">
        <f t="shared" si="4"/>
        <v>250000</v>
      </c>
      <c r="G34" s="158">
        <f t="shared" si="2"/>
        <v>5000</v>
      </c>
      <c r="H34" s="158">
        <f t="shared" si="3"/>
        <v>3060000</v>
      </c>
    </row>
    <row r="35" spans="1:8">
      <c r="A35" s="20" t="s">
        <v>40</v>
      </c>
      <c r="B35" s="20" t="s">
        <v>21</v>
      </c>
      <c r="C35" s="19">
        <f t="shared" si="0"/>
        <v>2650000</v>
      </c>
      <c r="D35" s="19">
        <f t="shared" si="1"/>
        <v>2915000</v>
      </c>
      <c r="E35" s="21">
        <v>4</v>
      </c>
      <c r="F35" s="158">
        <f t="shared" si="4"/>
        <v>1000000</v>
      </c>
      <c r="G35" s="158">
        <f t="shared" si="2"/>
        <v>20000</v>
      </c>
      <c r="H35" s="158">
        <f t="shared" si="3"/>
        <v>3935000</v>
      </c>
    </row>
    <row r="36" spans="1:8">
      <c r="A36" s="5" t="s">
        <v>278</v>
      </c>
      <c r="B36" s="20" t="s">
        <v>24</v>
      </c>
      <c r="C36" s="19">
        <f t="shared" si="0"/>
        <v>3020000</v>
      </c>
      <c r="D36" s="19">
        <f t="shared" si="1"/>
        <v>3322000</v>
      </c>
      <c r="E36" s="44">
        <v>2</v>
      </c>
      <c r="F36" s="158">
        <f t="shared" si="4"/>
        <v>500000</v>
      </c>
      <c r="G36" s="158">
        <f t="shared" si="2"/>
        <v>10000</v>
      </c>
      <c r="H36" s="158">
        <f t="shared" si="3"/>
        <v>3832000</v>
      </c>
    </row>
    <row r="37" spans="1:8">
      <c r="A37" s="5" t="s">
        <v>275</v>
      </c>
      <c r="B37" s="20" t="s">
        <v>22</v>
      </c>
      <c r="C37" s="19">
        <f t="shared" si="0"/>
        <v>2550000</v>
      </c>
      <c r="D37" s="19">
        <f t="shared" si="1"/>
        <v>2805000</v>
      </c>
      <c r="E37" s="44">
        <v>2</v>
      </c>
      <c r="F37" s="158">
        <f t="shared" si="4"/>
        <v>500000</v>
      </c>
      <c r="G37" s="158">
        <f t="shared" si="2"/>
        <v>10000</v>
      </c>
      <c r="H37" s="158">
        <f t="shared" si="3"/>
        <v>3315000</v>
      </c>
    </row>
    <row r="38" spans="1:8">
      <c r="A38" s="20" t="s">
        <v>41</v>
      </c>
      <c r="B38" s="20" t="s">
        <v>22</v>
      </c>
      <c r="C38" s="19">
        <f t="shared" si="0"/>
        <v>2550000</v>
      </c>
      <c r="D38" s="19">
        <f t="shared" si="1"/>
        <v>2805000</v>
      </c>
      <c r="E38" s="21">
        <v>3</v>
      </c>
      <c r="F38" s="158">
        <f t="shared" si="4"/>
        <v>750000</v>
      </c>
      <c r="G38" s="158">
        <f t="shared" si="2"/>
        <v>15000</v>
      </c>
      <c r="H38" s="158">
        <f t="shared" si="3"/>
        <v>3570000</v>
      </c>
    </row>
    <row r="39" spans="1:8">
      <c r="A39" s="5" t="s">
        <v>281</v>
      </c>
      <c r="B39" s="20" t="s">
        <v>22</v>
      </c>
      <c r="C39" s="19">
        <f t="shared" si="0"/>
        <v>2550000</v>
      </c>
      <c r="D39" s="19">
        <f t="shared" si="1"/>
        <v>2805000</v>
      </c>
      <c r="E39" s="44">
        <v>0</v>
      </c>
      <c r="F39" s="158">
        <f t="shared" si="4"/>
        <v>0</v>
      </c>
      <c r="G39" s="158">
        <f t="shared" si="2"/>
        <v>0</v>
      </c>
      <c r="H39" s="158">
        <f t="shared" si="3"/>
        <v>2805000</v>
      </c>
    </row>
    <row r="40" spans="1:8">
      <c r="A40" s="5" t="s">
        <v>267</v>
      </c>
      <c r="B40" s="20" t="s">
        <v>23</v>
      </c>
      <c r="C40" s="19">
        <f t="shared" si="0"/>
        <v>2800000</v>
      </c>
      <c r="D40" s="19">
        <f t="shared" si="1"/>
        <v>3080000</v>
      </c>
      <c r="E40" s="44">
        <v>1</v>
      </c>
      <c r="F40" s="158">
        <f t="shared" si="4"/>
        <v>250000</v>
      </c>
      <c r="G40" s="158">
        <f t="shared" si="2"/>
        <v>5000</v>
      </c>
      <c r="H40" s="158">
        <f t="shared" si="3"/>
        <v>3335000</v>
      </c>
    </row>
    <row r="41" spans="1:8">
      <c r="A41" s="20" t="s">
        <v>42</v>
      </c>
      <c r="B41" s="20" t="s">
        <v>23</v>
      </c>
      <c r="C41" s="19">
        <f t="shared" si="0"/>
        <v>2800000</v>
      </c>
      <c r="D41" s="19">
        <f t="shared" si="1"/>
        <v>3080000</v>
      </c>
      <c r="E41" s="21">
        <v>2</v>
      </c>
      <c r="F41" s="158">
        <f t="shared" si="4"/>
        <v>500000</v>
      </c>
      <c r="G41" s="158">
        <f t="shared" si="2"/>
        <v>10000</v>
      </c>
      <c r="H41" s="158">
        <f t="shared" si="3"/>
        <v>3590000</v>
      </c>
    </row>
    <row r="42" spans="1:8">
      <c r="A42" s="20" t="s">
        <v>43</v>
      </c>
      <c r="B42" s="20" t="s">
        <v>24</v>
      </c>
      <c r="C42" s="19">
        <f t="shared" si="0"/>
        <v>3020000</v>
      </c>
      <c r="D42" s="19">
        <f t="shared" si="1"/>
        <v>3322000</v>
      </c>
      <c r="E42" s="21">
        <v>2</v>
      </c>
      <c r="F42" s="158">
        <f t="shared" si="4"/>
        <v>500000</v>
      </c>
      <c r="G42" s="158">
        <f t="shared" si="2"/>
        <v>10000</v>
      </c>
      <c r="H42" s="158">
        <f t="shared" si="3"/>
        <v>3832000</v>
      </c>
    </row>
    <row r="43" spans="1:8">
      <c r="A43" s="20" t="s">
        <v>44</v>
      </c>
      <c r="B43" s="20" t="s">
        <v>20</v>
      </c>
      <c r="C43" s="19">
        <f t="shared" si="0"/>
        <v>2950000</v>
      </c>
      <c r="D43" s="19">
        <f t="shared" si="1"/>
        <v>3245000</v>
      </c>
      <c r="E43" s="21">
        <v>0</v>
      </c>
      <c r="F43" s="158">
        <f t="shared" si="4"/>
        <v>0</v>
      </c>
      <c r="G43" s="158">
        <f t="shared" si="2"/>
        <v>0</v>
      </c>
      <c r="H43" s="158">
        <f t="shared" si="3"/>
        <v>3245000</v>
      </c>
    </row>
    <row r="44" spans="1:8">
      <c r="A44" s="20" t="s">
        <v>54</v>
      </c>
      <c r="B44" s="20" t="s">
        <v>21</v>
      </c>
      <c r="C44" s="19">
        <f t="shared" si="0"/>
        <v>2650000</v>
      </c>
      <c r="D44" s="19">
        <f t="shared" si="1"/>
        <v>2915000</v>
      </c>
      <c r="E44" s="21">
        <v>3</v>
      </c>
      <c r="F44" s="158">
        <f t="shared" si="4"/>
        <v>750000</v>
      </c>
      <c r="G44" s="158">
        <f t="shared" si="2"/>
        <v>15000</v>
      </c>
      <c r="H44" s="158">
        <f t="shared" si="3"/>
        <v>3680000</v>
      </c>
    </row>
    <row r="45" spans="1:8">
      <c r="A45" s="20" t="s">
        <v>45</v>
      </c>
      <c r="B45" s="20" t="s">
        <v>21</v>
      </c>
      <c r="C45" s="19">
        <f t="shared" si="0"/>
        <v>2650000</v>
      </c>
      <c r="D45" s="19">
        <f t="shared" si="1"/>
        <v>2915000</v>
      </c>
      <c r="E45" s="21">
        <v>2</v>
      </c>
      <c r="F45" s="158">
        <f t="shared" si="4"/>
        <v>500000</v>
      </c>
      <c r="G45" s="158">
        <f t="shared" si="2"/>
        <v>10000</v>
      </c>
      <c r="H45" s="158">
        <f t="shared" si="3"/>
        <v>3425000</v>
      </c>
    </row>
    <row r="46" spans="1:8">
      <c r="A46" s="20" t="s">
        <v>46</v>
      </c>
      <c r="B46" s="20" t="s">
        <v>22</v>
      </c>
      <c r="C46" s="19">
        <f t="shared" si="0"/>
        <v>2550000</v>
      </c>
      <c r="D46" s="19">
        <f t="shared" si="1"/>
        <v>2805000</v>
      </c>
      <c r="E46" s="21">
        <v>1</v>
      </c>
      <c r="F46" s="158">
        <f t="shared" si="4"/>
        <v>250000</v>
      </c>
      <c r="G46" s="158">
        <f t="shared" si="2"/>
        <v>5000</v>
      </c>
      <c r="H46" s="158">
        <f t="shared" si="3"/>
        <v>3060000</v>
      </c>
    </row>
    <row r="47" spans="1:8">
      <c r="A47" s="20" t="s">
        <v>47</v>
      </c>
      <c r="B47" s="20" t="s">
        <v>21</v>
      </c>
      <c r="C47" s="19">
        <f t="shared" si="0"/>
        <v>2650000</v>
      </c>
      <c r="D47" s="19">
        <f t="shared" si="1"/>
        <v>2915000</v>
      </c>
      <c r="E47" s="21">
        <v>3</v>
      </c>
      <c r="F47" s="158">
        <f t="shared" si="4"/>
        <v>750000</v>
      </c>
      <c r="G47" s="158">
        <f t="shared" si="2"/>
        <v>15000</v>
      </c>
      <c r="H47" s="158">
        <f t="shared" si="3"/>
        <v>3680000</v>
      </c>
    </row>
    <row r="48" spans="1:8">
      <c r="A48" s="5" t="s">
        <v>280</v>
      </c>
      <c r="B48" s="20" t="s">
        <v>21</v>
      </c>
      <c r="C48" s="19">
        <f t="shared" si="0"/>
        <v>2650000</v>
      </c>
      <c r="D48" s="19">
        <f t="shared" si="1"/>
        <v>2915000</v>
      </c>
      <c r="E48" s="44">
        <v>0</v>
      </c>
      <c r="F48" s="158">
        <f t="shared" si="4"/>
        <v>0</v>
      </c>
      <c r="G48" s="158">
        <f t="shared" si="2"/>
        <v>0</v>
      </c>
      <c r="H48" s="158">
        <f t="shared" si="3"/>
        <v>2915000</v>
      </c>
    </row>
    <row r="49" spans="1:9">
      <c r="A49" s="20" t="s">
        <v>48</v>
      </c>
      <c r="B49" s="20" t="s">
        <v>22</v>
      </c>
      <c r="C49" s="19">
        <f t="shared" si="0"/>
        <v>2550000</v>
      </c>
      <c r="D49" s="19">
        <f t="shared" si="1"/>
        <v>2805000</v>
      </c>
      <c r="E49" s="21">
        <v>4</v>
      </c>
      <c r="F49" s="158">
        <f t="shared" si="4"/>
        <v>1000000</v>
      </c>
      <c r="G49" s="158">
        <f t="shared" si="2"/>
        <v>20000</v>
      </c>
      <c r="H49" s="158">
        <f t="shared" si="3"/>
        <v>3825000</v>
      </c>
    </row>
    <row r="50" spans="1:9">
      <c r="A50" s="5" t="s">
        <v>277</v>
      </c>
      <c r="B50" s="20" t="s">
        <v>23</v>
      </c>
      <c r="C50" s="19">
        <f t="shared" si="0"/>
        <v>2800000</v>
      </c>
      <c r="D50" s="19">
        <f t="shared" si="1"/>
        <v>3080000</v>
      </c>
      <c r="E50" s="44">
        <v>1</v>
      </c>
      <c r="F50" s="158">
        <f t="shared" si="4"/>
        <v>250000</v>
      </c>
      <c r="G50" s="158">
        <f t="shared" si="2"/>
        <v>5000</v>
      </c>
      <c r="H50" s="158">
        <f t="shared" si="3"/>
        <v>3335000</v>
      </c>
    </row>
    <row r="51" spans="1:9">
      <c r="A51" s="5" t="s">
        <v>271</v>
      </c>
      <c r="B51" s="20" t="s">
        <v>23</v>
      </c>
      <c r="C51" s="19">
        <f t="shared" si="0"/>
        <v>2800000</v>
      </c>
      <c r="D51" s="19">
        <f t="shared" si="1"/>
        <v>3080000</v>
      </c>
      <c r="E51" s="44">
        <v>2</v>
      </c>
      <c r="F51" s="158">
        <f t="shared" si="4"/>
        <v>500000</v>
      </c>
      <c r="G51" s="158">
        <f t="shared" si="2"/>
        <v>10000</v>
      </c>
      <c r="H51" s="158">
        <f t="shared" si="3"/>
        <v>3590000</v>
      </c>
    </row>
    <row r="52" spans="1:9">
      <c r="A52" s="20" t="s">
        <v>49</v>
      </c>
      <c r="B52" s="20" t="s">
        <v>23</v>
      </c>
      <c r="C52" s="19">
        <f t="shared" si="0"/>
        <v>2800000</v>
      </c>
      <c r="D52" s="19">
        <f t="shared" si="1"/>
        <v>3080000</v>
      </c>
      <c r="E52" s="21">
        <v>4</v>
      </c>
      <c r="F52" s="158">
        <f t="shared" si="4"/>
        <v>1000000</v>
      </c>
      <c r="G52" s="158">
        <f t="shared" si="2"/>
        <v>20000</v>
      </c>
      <c r="H52" s="158">
        <f t="shared" si="3"/>
        <v>4100000</v>
      </c>
    </row>
    <row r="53" spans="1:9">
      <c r="A53" s="20" t="s">
        <v>50</v>
      </c>
      <c r="B53" s="20" t="s">
        <v>24</v>
      </c>
      <c r="C53" s="19">
        <f t="shared" si="0"/>
        <v>3020000</v>
      </c>
      <c r="D53" s="19">
        <f t="shared" si="1"/>
        <v>3322000</v>
      </c>
      <c r="E53" s="21">
        <v>0</v>
      </c>
      <c r="F53" s="158">
        <f t="shared" si="4"/>
        <v>0</v>
      </c>
      <c r="G53" s="158">
        <f t="shared" si="2"/>
        <v>0</v>
      </c>
      <c r="H53" s="158">
        <f t="shared" si="3"/>
        <v>3322000</v>
      </c>
    </row>
    <row r="54" spans="1:9">
      <c r="A54" s="20" t="s">
        <v>51</v>
      </c>
      <c r="B54" s="20" t="s">
        <v>21</v>
      </c>
      <c r="C54" s="19">
        <f t="shared" si="0"/>
        <v>2650000</v>
      </c>
      <c r="D54" s="19">
        <f t="shared" si="1"/>
        <v>2915000</v>
      </c>
      <c r="E54" s="21">
        <v>0</v>
      </c>
      <c r="F54" s="158">
        <f t="shared" si="4"/>
        <v>0</v>
      </c>
      <c r="G54" s="158">
        <f t="shared" si="2"/>
        <v>0</v>
      </c>
      <c r="H54" s="158">
        <f t="shared" si="3"/>
        <v>2915000</v>
      </c>
    </row>
    <row r="55" spans="1:9">
      <c r="A55" s="20" t="s">
        <v>52</v>
      </c>
      <c r="B55" s="20" t="s">
        <v>22</v>
      </c>
      <c r="C55" s="19">
        <f t="shared" si="0"/>
        <v>2550000</v>
      </c>
      <c r="D55" s="19">
        <f t="shared" si="1"/>
        <v>2805000</v>
      </c>
      <c r="E55" s="21">
        <v>2</v>
      </c>
      <c r="F55" s="158">
        <f t="shared" si="4"/>
        <v>500000</v>
      </c>
      <c r="G55" s="158">
        <f t="shared" si="2"/>
        <v>10000</v>
      </c>
      <c r="H55" s="158">
        <f t="shared" si="3"/>
        <v>3315000</v>
      </c>
    </row>
    <row r="56" spans="1:9">
      <c r="A56" s="5" t="s">
        <v>266</v>
      </c>
      <c r="B56" s="20" t="s">
        <v>22</v>
      </c>
      <c r="C56" s="19">
        <f t="shared" si="0"/>
        <v>2550000</v>
      </c>
      <c r="D56" s="19">
        <f t="shared" si="1"/>
        <v>2805000</v>
      </c>
      <c r="E56" s="44">
        <v>2</v>
      </c>
      <c r="F56" s="158">
        <f t="shared" si="4"/>
        <v>500000</v>
      </c>
      <c r="G56" s="158">
        <f t="shared" si="2"/>
        <v>10000</v>
      </c>
      <c r="H56" s="158">
        <f t="shared" si="3"/>
        <v>3315000</v>
      </c>
    </row>
    <row r="57" spans="1:9">
      <c r="A57" s="20" t="s">
        <v>53</v>
      </c>
      <c r="B57" s="20" t="s">
        <v>20</v>
      </c>
      <c r="C57" s="19">
        <f t="shared" si="0"/>
        <v>2950000</v>
      </c>
      <c r="D57" s="19">
        <f t="shared" si="1"/>
        <v>3245000</v>
      </c>
      <c r="E57" s="45">
        <v>2</v>
      </c>
      <c r="F57" s="158">
        <f t="shared" si="4"/>
        <v>500000</v>
      </c>
      <c r="G57" s="158">
        <f t="shared" si="2"/>
        <v>10000</v>
      </c>
      <c r="H57" s="158">
        <f t="shared" si="3"/>
        <v>3755000</v>
      </c>
    </row>
    <row r="58" spans="1:9">
      <c r="E58" s="98" t="s">
        <v>58</v>
      </c>
      <c r="F58" s="159">
        <f>SUM(F8:F57)</f>
        <v>23750000</v>
      </c>
      <c r="G58" s="159">
        <f>SUM(G8:G57)</f>
        <v>475000</v>
      </c>
      <c r="H58" s="159">
        <f>SUM(H8:H57)</f>
        <v>176443000</v>
      </c>
    </row>
    <row r="59" spans="1:9">
      <c r="C59" s="231" t="s">
        <v>479</v>
      </c>
      <c r="D59" s="231"/>
      <c r="E59" s="231"/>
      <c r="F59" s="232">
        <f>AVERAGE(H8:H57)</f>
        <v>3528860</v>
      </c>
      <c r="G59" s="233"/>
      <c r="H59" s="233"/>
      <c r="I59" s="161"/>
    </row>
    <row r="60" spans="1:9">
      <c r="B60" s="231" t="s">
        <v>291</v>
      </c>
      <c r="C60" s="231"/>
      <c r="D60" s="231"/>
      <c r="E60" s="231"/>
      <c r="F60" s="234">
        <f>AVERAGE(E8:E57)</f>
        <v>1.9</v>
      </c>
      <c r="G60" s="234"/>
      <c r="H60" s="234"/>
      <c r="I60" s="161"/>
    </row>
  </sheetData>
  <sortState ref="A8:H57">
    <sortCondition ref="A7"/>
  </sortState>
  <mergeCells count="6">
    <mergeCell ref="C59:E59"/>
    <mergeCell ref="F59:H59"/>
    <mergeCell ref="F60:H60"/>
    <mergeCell ref="A1:H1"/>
    <mergeCell ref="B60:E60"/>
    <mergeCell ref="A2:B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
  <sheetViews>
    <sheetView topLeftCell="B23" workbookViewId="0">
      <selection activeCell="L10" sqref="L10"/>
    </sheetView>
  </sheetViews>
  <sheetFormatPr baseColWidth="10" defaultRowHeight="15"/>
  <cols>
    <col min="1" max="1" width="31.28515625" bestFit="1" customWidth="1"/>
    <col min="2" max="2" width="12.28515625" bestFit="1" customWidth="1"/>
    <col min="5" max="5" width="32" customWidth="1"/>
    <col min="6" max="6" width="15.85546875" customWidth="1"/>
    <col min="8" max="8" width="12.28515625" bestFit="1" customWidth="1"/>
    <col min="10" max="10" width="15.85546875" bestFit="1" customWidth="1"/>
    <col min="12" max="12" width="14.140625" bestFit="1" customWidth="1"/>
    <col min="13" max="13" width="3.7109375" customWidth="1"/>
  </cols>
  <sheetData>
    <row r="1" spans="1:14" ht="21">
      <c r="A1" s="240" t="s">
        <v>59</v>
      </c>
      <c r="B1" s="241"/>
      <c r="C1" s="241"/>
      <c r="D1" s="241"/>
      <c r="E1" s="241"/>
      <c r="F1" s="241"/>
      <c r="G1" s="241"/>
      <c r="H1" s="241"/>
      <c r="I1" s="241"/>
      <c r="J1" s="241"/>
      <c r="K1" s="241"/>
      <c r="L1" s="241"/>
    </row>
    <row r="2" spans="1:14">
      <c r="A2" s="39" t="s">
        <v>496</v>
      </c>
      <c r="B2" s="1"/>
      <c r="C2" s="1"/>
      <c r="D2" s="1"/>
      <c r="E2" s="1"/>
      <c r="F2" s="1"/>
      <c r="G2" s="1"/>
    </row>
    <row r="3" spans="1:14" ht="30" customHeight="1">
      <c r="A3" s="123" t="s">
        <v>60</v>
      </c>
      <c r="B3" s="123" t="s">
        <v>61</v>
      </c>
      <c r="C3" s="123" t="s">
        <v>62</v>
      </c>
      <c r="D3" s="18"/>
      <c r="E3" s="244" t="s">
        <v>71</v>
      </c>
      <c r="F3" s="244"/>
      <c r="G3" s="23"/>
      <c r="H3" s="248" t="s">
        <v>77</v>
      </c>
      <c r="I3" s="249"/>
      <c r="J3" s="250"/>
      <c r="L3" s="127" t="str">
        <f ca="1">"Valor SMLV "&amp;YEAR(TODAY())</f>
        <v>Valor SMLV 2024</v>
      </c>
    </row>
    <row r="4" spans="1:14">
      <c r="A4" s="124" t="s">
        <v>349</v>
      </c>
      <c r="B4" s="128">
        <v>80800000</v>
      </c>
      <c r="C4" s="129">
        <v>2E-3</v>
      </c>
      <c r="D4" s="1"/>
      <c r="E4" s="125" t="s">
        <v>72</v>
      </c>
      <c r="F4" s="130">
        <v>0.04</v>
      </c>
      <c r="H4" s="245" t="s">
        <v>75</v>
      </c>
      <c r="I4" s="245"/>
      <c r="J4" s="168">
        <f>SUM(F10:F39)</f>
        <v>62606300000</v>
      </c>
      <c r="L4" s="313">
        <v>1300000</v>
      </c>
      <c r="M4" s="11">
        <v>1</v>
      </c>
      <c r="N4" s="11" t="s">
        <v>297</v>
      </c>
    </row>
    <row r="5" spans="1:14">
      <c r="A5" s="124" t="s">
        <v>348</v>
      </c>
      <c r="B5" s="128">
        <v>67900000</v>
      </c>
      <c r="C5" s="129">
        <v>4.4999999999999997E-3</v>
      </c>
      <c r="D5" s="1"/>
      <c r="E5" s="126" t="s">
        <v>73</v>
      </c>
      <c r="F5" s="131">
        <v>0.04</v>
      </c>
      <c r="H5" s="245" t="s">
        <v>76</v>
      </c>
      <c r="I5" s="245"/>
      <c r="J5" s="168">
        <f>SUM(E10:E39)</f>
        <v>208629350</v>
      </c>
      <c r="M5" s="11"/>
      <c r="N5" s="50" t="s">
        <v>79</v>
      </c>
    </row>
    <row r="6" spans="1:14">
      <c r="A6" s="124" t="s">
        <v>350</v>
      </c>
      <c r="B6" s="128">
        <v>30000000</v>
      </c>
      <c r="C6" s="129">
        <v>4.0000000000000001E-3</v>
      </c>
      <c r="D6" s="1"/>
      <c r="E6" s="126" t="s">
        <v>70</v>
      </c>
      <c r="F6" s="131">
        <v>0.06</v>
      </c>
      <c r="M6" s="11"/>
      <c r="N6" s="50" t="s">
        <v>78</v>
      </c>
    </row>
    <row r="7" spans="1:14">
      <c r="A7" s="1"/>
      <c r="B7" s="1"/>
      <c r="C7" s="1"/>
      <c r="D7" s="1"/>
      <c r="E7" s="1"/>
      <c r="F7" s="1"/>
      <c r="G7" s="1"/>
      <c r="M7" s="11">
        <v>2</v>
      </c>
      <c r="N7" s="11" t="s">
        <v>299</v>
      </c>
    </row>
    <row r="8" spans="1:14">
      <c r="A8" s="246" t="s">
        <v>63</v>
      </c>
      <c r="B8" s="246" t="s">
        <v>64</v>
      </c>
      <c r="C8" s="246"/>
      <c r="D8" s="246"/>
      <c r="E8" s="247" t="s">
        <v>65</v>
      </c>
      <c r="F8" s="242" t="s">
        <v>74</v>
      </c>
      <c r="G8" s="247" t="s">
        <v>66</v>
      </c>
      <c r="H8" s="239" t="s">
        <v>67</v>
      </c>
      <c r="I8" s="239" t="s">
        <v>68</v>
      </c>
      <c r="J8" s="239" t="s">
        <v>69</v>
      </c>
      <c r="K8" s="239" t="s">
        <v>70</v>
      </c>
      <c r="L8" s="239" t="s">
        <v>12</v>
      </c>
      <c r="M8" s="11"/>
      <c r="N8" s="50" t="s">
        <v>80</v>
      </c>
    </row>
    <row r="9" spans="1:14">
      <c r="A9" s="246"/>
      <c r="B9" s="135" t="s">
        <v>349</v>
      </c>
      <c r="C9" s="135" t="s">
        <v>348</v>
      </c>
      <c r="D9" s="135" t="s">
        <v>350</v>
      </c>
      <c r="E9" s="247"/>
      <c r="F9" s="243"/>
      <c r="G9" s="247"/>
      <c r="H9" s="239"/>
      <c r="I9" s="239"/>
      <c r="J9" s="239"/>
      <c r="K9" s="239"/>
      <c r="L9" s="239"/>
      <c r="M9" s="11">
        <v>3</v>
      </c>
      <c r="N9" s="51" t="s">
        <v>298</v>
      </c>
    </row>
    <row r="10" spans="1:14">
      <c r="A10" s="134" t="s">
        <v>25</v>
      </c>
      <c r="B10" s="21">
        <v>18</v>
      </c>
      <c r="C10" s="21">
        <v>21</v>
      </c>
      <c r="D10" s="21">
        <v>13</v>
      </c>
      <c r="E10" s="22">
        <f>B10*$B$4*$C$4+C10*$B$5*$C$5+D10*$B$6*$C$6</f>
        <v>10885350</v>
      </c>
      <c r="F10" s="22">
        <f>B10*$B$4+C10*$B$5+D10*$B$6</f>
        <v>3270300000</v>
      </c>
      <c r="G10" s="22">
        <f>$L$4</f>
        <v>1300000</v>
      </c>
      <c r="H10" s="167">
        <f>E10+G10</f>
        <v>12185350</v>
      </c>
      <c r="I10" s="167">
        <f>H10*$F$4</f>
        <v>487414</v>
      </c>
      <c r="J10" s="167">
        <f>H10*$F$5</f>
        <v>487414</v>
      </c>
      <c r="K10" s="167">
        <f>H10*$F$6</f>
        <v>731121</v>
      </c>
      <c r="L10" s="167">
        <f>H10-I10-J10-K10</f>
        <v>10479401</v>
      </c>
    </row>
    <row r="11" spans="1:14">
      <c r="A11" s="134" t="s">
        <v>26</v>
      </c>
      <c r="B11" s="21">
        <v>23</v>
      </c>
      <c r="C11" s="21">
        <v>5</v>
      </c>
      <c r="D11" s="21">
        <v>5</v>
      </c>
      <c r="E11" s="22">
        <f t="shared" ref="E11:E39" si="0">B11*$B$4*$C$4+C11*$B$5*$C$5+D11*$B$6*$C$6</f>
        <v>5844550</v>
      </c>
      <c r="F11" s="22">
        <f t="shared" ref="F11:F39" si="1">B11*$B$4+C11*$B$5+D11*$B$6</f>
        <v>2347900000</v>
      </c>
      <c r="G11" s="22">
        <f t="shared" ref="G11:G39" si="2">$L$4</f>
        <v>1300000</v>
      </c>
      <c r="H11" s="167">
        <f t="shared" ref="H11:H39" si="3">E11+G11</f>
        <v>7144550</v>
      </c>
      <c r="I11" s="167">
        <f t="shared" ref="I11:I39" si="4">H11*$F$4</f>
        <v>285782</v>
      </c>
      <c r="J11" s="167">
        <f t="shared" ref="J11:J39" si="5">H11*$F$5</f>
        <v>285782</v>
      </c>
      <c r="K11" s="167">
        <f t="shared" ref="K11:K39" si="6">H11*$F$6</f>
        <v>428673</v>
      </c>
      <c r="L11" s="167">
        <f t="shared" ref="L11:L39" si="7">H11-I11-J11-K11</f>
        <v>6144313</v>
      </c>
    </row>
    <row r="12" spans="1:14">
      <c r="A12" s="134" t="s">
        <v>27</v>
      </c>
      <c r="B12" s="21">
        <v>0</v>
      </c>
      <c r="C12" s="21">
        <v>11</v>
      </c>
      <c r="D12" s="21">
        <v>1</v>
      </c>
      <c r="E12" s="22">
        <f t="shared" si="0"/>
        <v>3481049.9999999995</v>
      </c>
      <c r="F12" s="22">
        <f t="shared" si="1"/>
        <v>776900000</v>
      </c>
      <c r="G12" s="22">
        <f t="shared" si="2"/>
        <v>1300000</v>
      </c>
      <c r="H12" s="167">
        <f t="shared" si="3"/>
        <v>4781050</v>
      </c>
      <c r="I12" s="167">
        <f t="shared" si="4"/>
        <v>191242</v>
      </c>
      <c r="J12" s="167">
        <f t="shared" si="5"/>
        <v>191242</v>
      </c>
      <c r="K12" s="167">
        <f t="shared" si="6"/>
        <v>286863</v>
      </c>
      <c r="L12" s="167">
        <f t="shared" si="7"/>
        <v>4111703</v>
      </c>
    </row>
    <row r="13" spans="1:14">
      <c r="A13" s="134" t="s">
        <v>28</v>
      </c>
      <c r="B13" s="21">
        <v>0</v>
      </c>
      <c r="C13" s="21">
        <v>11</v>
      </c>
      <c r="D13" s="21">
        <v>2</v>
      </c>
      <c r="E13" s="22">
        <f t="shared" si="0"/>
        <v>3601049.9999999995</v>
      </c>
      <c r="F13" s="22">
        <f t="shared" si="1"/>
        <v>806900000</v>
      </c>
      <c r="G13" s="22">
        <f t="shared" si="2"/>
        <v>1300000</v>
      </c>
      <c r="H13" s="167">
        <f t="shared" si="3"/>
        <v>4901050</v>
      </c>
      <c r="I13" s="167">
        <f t="shared" si="4"/>
        <v>196042</v>
      </c>
      <c r="J13" s="167">
        <f t="shared" si="5"/>
        <v>196042</v>
      </c>
      <c r="K13" s="167">
        <f t="shared" si="6"/>
        <v>294063</v>
      </c>
      <c r="L13" s="167">
        <f t="shared" si="7"/>
        <v>4214903</v>
      </c>
    </row>
    <row r="14" spans="1:14">
      <c r="A14" s="134" t="s">
        <v>29</v>
      </c>
      <c r="B14" s="21">
        <v>13</v>
      </c>
      <c r="C14" s="21">
        <v>11</v>
      </c>
      <c r="D14" s="21">
        <v>11</v>
      </c>
      <c r="E14" s="22">
        <f t="shared" si="0"/>
        <v>6781850</v>
      </c>
      <c r="F14" s="22">
        <f t="shared" si="1"/>
        <v>2127300000</v>
      </c>
      <c r="G14" s="22">
        <f t="shared" si="2"/>
        <v>1300000</v>
      </c>
      <c r="H14" s="167">
        <f t="shared" si="3"/>
        <v>8081850</v>
      </c>
      <c r="I14" s="167">
        <f t="shared" si="4"/>
        <v>323274</v>
      </c>
      <c r="J14" s="167">
        <f t="shared" si="5"/>
        <v>323274</v>
      </c>
      <c r="K14" s="167">
        <f t="shared" si="6"/>
        <v>484911</v>
      </c>
      <c r="L14" s="167">
        <f t="shared" si="7"/>
        <v>6950391</v>
      </c>
    </row>
    <row r="15" spans="1:14">
      <c r="A15" s="134" t="s">
        <v>30</v>
      </c>
      <c r="B15" s="21">
        <v>10</v>
      </c>
      <c r="C15" s="21">
        <v>2</v>
      </c>
      <c r="D15" s="21">
        <v>13</v>
      </c>
      <c r="E15" s="22">
        <f t="shared" si="0"/>
        <v>3787100</v>
      </c>
      <c r="F15" s="22">
        <f t="shared" si="1"/>
        <v>1333800000</v>
      </c>
      <c r="G15" s="22">
        <f t="shared" si="2"/>
        <v>1300000</v>
      </c>
      <c r="H15" s="167">
        <f t="shared" si="3"/>
        <v>5087100</v>
      </c>
      <c r="I15" s="167">
        <f t="shared" si="4"/>
        <v>203484</v>
      </c>
      <c r="J15" s="167">
        <f t="shared" si="5"/>
        <v>203484</v>
      </c>
      <c r="K15" s="167">
        <f t="shared" si="6"/>
        <v>305226</v>
      </c>
      <c r="L15" s="167">
        <f t="shared" si="7"/>
        <v>4374906</v>
      </c>
    </row>
    <row r="16" spans="1:14">
      <c r="A16" s="134" t="s">
        <v>31</v>
      </c>
      <c r="B16" s="21">
        <v>7</v>
      </c>
      <c r="C16" s="21">
        <v>9</v>
      </c>
      <c r="D16" s="21">
        <v>11</v>
      </c>
      <c r="E16" s="22">
        <f t="shared" si="0"/>
        <v>5201150</v>
      </c>
      <c r="F16" s="22">
        <f t="shared" si="1"/>
        <v>1506700000</v>
      </c>
      <c r="G16" s="22">
        <f t="shared" si="2"/>
        <v>1300000</v>
      </c>
      <c r="H16" s="167">
        <f t="shared" si="3"/>
        <v>6501150</v>
      </c>
      <c r="I16" s="167">
        <f t="shared" si="4"/>
        <v>260046</v>
      </c>
      <c r="J16" s="167">
        <f t="shared" si="5"/>
        <v>260046</v>
      </c>
      <c r="K16" s="167">
        <f t="shared" si="6"/>
        <v>390069</v>
      </c>
      <c r="L16" s="167">
        <f t="shared" si="7"/>
        <v>5590989</v>
      </c>
    </row>
    <row r="17" spans="1:12">
      <c r="A17" s="134" t="s">
        <v>32</v>
      </c>
      <c r="B17" s="21">
        <v>3</v>
      </c>
      <c r="C17" s="21">
        <v>3</v>
      </c>
      <c r="D17" s="21">
        <v>16</v>
      </c>
      <c r="E17" s="22">
        <f t="shared" si="0"/>
        <v>3321450</v>
      </c>
      <c r="F17" s="22">
        <f t="shared" si="1"/>
        <v>926100000</v>
      </c>
      <c r="G17" s="22">
        <f t="shared" si="2"/>
        <v>1300000</v>
      </c>
      <c r="H17" s="167">
        <f t="shared" si="3"/>
        <v>4621450</v>
      </c>
      <c r="I17" s="167">
        <f t="shared" si="4"/>
        <v>184858</v>
      </c>
      <c r="J17" s="167">
        <f t="shared" si="5"/>
        <v>184858</v>
      </c>
      <c r="K17" s="167">
        <f t="shared" si="6"/>
        <v>277287</v>
      </c>
      <c r="L17" s="167">
        <f t="shared" si="7"/>
        <v>3974447</v>
      </c>
    </row>
    <row r="18" spans="1:12">
      <c r="A18" s="134" t="s">
        <v>33</v>
      </c>
      <c r="B18" s="21">
        <v>1</v>
      </c>
      <c r="C18" s="21">
        <v>8</v>
      </c>
      <c r="D18" s="21">
        <v>4</v>
      </c>
      <c r="E18" s="22">
        <f t="shared" si="0"/>
        <v>3086000</v>
      </c>
      <c r="F18" s="22">
        <f t="shared" si="1"/>
        <v>744000000</v>
      </c>
      <c r="G18" s="22">
        <f t="shared" si="2"/>
        <v>1300000</v>
      </c>
      <c r="H18" s="167">
        <f t="shared" si="3"/>
        <v>4386000</v>
      </c>
      <c r="I18" s="167">
        <f t="shared" si="4"/>
        <v>175440</v>
      </c>
      <c r="J18" s="167">
        <f t="shared" si="5"/>
        <v>175440</v>
      </c>
      <c r="K18" s="167">
        <f t="shared" si="6"/>
        <v>263160</v>
      </c>
      <c r="L18" s="167">
        <f t="shared" si="7"/>
        <v>3771960</v>
      </c>
    </row>
    <row r="19" spans="1:12">
      <c r="A19" s="134" t="s">
        <v>34</v>
      </c>
      <c r="B19" s="21">
        <v>8</v>
      </c>
      <c r="C19" s="21">
        <v>14</v>
      </c>
      <c r="D19" s="21">
        <v>23</v>
      </c>
      <c r="E19" s="22">
        <f t="shared" si="0"/>
        <v>8330500</v>
      </c>
      <c r="F19" s="22">
        <f t="shared" si="1"/>
        <v>2287000000</v>
      </c>
      <c r="G19" s="22">
        <f t="shared" si="2"/>
        <v>1300000</v>
      </c>
      <c r="H19" s="167">
        <f t="shared" si="3"/>
        <v>9630500</v>
      </c>
      <c r="I19" s="167">
        <f t="shared" si="4"/>
        <v>385220</v>
      </c>
      <c r="J19" s="167">
        <f t="shared" si="5"/>
        <v>385220</v>
      </c>
      <c r="K19" s="167">
        <f t="shared" si="6"/>
        <v>577830</v>
      </c>
      <c r="L19" s="167">
        <f t="shared" si="7"/>
        <v>8282230</v>
      </c>
    </row>
    <row r="20" spans="1:12">
      <c r="A20" s="134" t="s">
        <v>35</v>
      </c>
      <c r="B20" s="21">
        <v>16</v>
      </c>
      <c r="C20" s="21">
        <v>15</v>
      </c>
      <c r="D20" s="21">
        <v>21</v>
      </c>
      <c r="E20" s="22">
        <f t="shared" si="0"/>
        <v>9688850</v>
      </c>
      <c r="F20" s="22">
        <f t="shared" si="1"/>
        <v>2941300000</v>
      </c>
      <c r="G20" s="22">
        <f t="shared" si="2"/>
        <v>1300000</v>
      </c>
      <c r="H20" s="167">
        <f t="shared" si="3"/>
        <v>10988850</v>
      </c>
      <c r="I20" s="167">
        <f t="shared" si="4"/>
        <v>439554</v>
      </c>
      <c r="J20" s="167">
        <f t="shared" si="5"/>
        <v>439554</v>
      </c>
      <c r="K20" s="167">
        <f t="shared" si="6"/>
        <v>659331</v>
      </c>
      <c r="L20" s="167">
        <f t="shared" si="7"/>
        <v>9450411</v>
      </c>
    </row>
    <row r="21" spans="1:12">
      <c r="A21" s="134" t="s">
        <v>36</v>
      </c>
      <c r="B21" s="21">
        <v>5</v>
      </c>
      <c r="C21" s="21">
        <v>16</v>
      </c>
      <c r="D21" s="21">
        <v>22</v>
      </c>
      <c r="E21" s="22">
        <f t="shared" si="0"/>
        <v>8336800</v>
      </c>
      <c r="F21" s="22">
        <f t="shared" si="1"/>
        <v>2150400000</v>
      </c>
      <c r="G21" s="22">
        <f t="shared" si="2"/>
        <v>1300000</v>
      </c>
      <c r="H21" s="167">
        <f t="shared" si="3"/>
        <v>9636800</v>
      </c>
      <c r="I21" s="167">
        <f t="shared" si="4"/>
        <v>385472</v>
      </c>
      <c r="J21" s="167">
        <f t="shared" si="5"/>
        <v>385472</v>
      </c>
      <c r="K21" s="167">
        <f t="shared" si="6"/>
        <v>578208</v>
      </c>
      <c r="L21" s="167">
        <f t="shared" si="7"/>
        <v>8287648</v>
      </c>
    </row>
    <row r="22" spans="1:12">
      <c r="A22" s="134" t="s">
        <v>37</v>
      </c>
      <c r="B22" s="21">
        <v>11</v>
      </c>
      <c r="C22" s="21">
        <v>20</v>
      </c>
      <c r="D22" s="21">
        <v>24</v>
      </c>
      <c r="E22" s="22">
        <f t="shared" si="0"/>
        <v>10768600</v>
      </c>
      <c r="F22" s="22">
        <f t="shared" si="1"/>
        <v>2966800000</v>
      </c>
      <c r="G22" s="22">
        <f t="shared" si="2"/>
        <v>1300000</v>
      </c>
      <c r="H22" s="167">
        <f t="shared" si="3"/>
        <v>12068600</v>
      </c>
      <c r="I22" s="167">
        <f t="shared" si="4"/>
        <v>482744</v>
      </c>
      <c r="J22" s="167">
        <f t="shared" si="5"/>
        <v>482744</v>
      </c>
      <c r="K22" s="167">
        <f t="shared" si="6"/>
        <v>724116</v>
      </c>
      <c r="L22" s="167">
        <f t="shared" si="7"/>
        <v>10378996</v>
      </c>
    </row>
    <row r="23" spans="1:12">
      <c r="A23" s="134" t="s">
        <v>38</v>
      </c>
      <c r="B23" s="21">
        <v>19</v>
      </c>
      <c r="C23" s="21">
        <v>16</v>
      </c>
      <c r="D23" s="21">
        <v>22</v>
      </c>
      <c r="E23" s="22">
        <f t="shared" si="0"/>
        <v>10599200</v>
      </c>
      <c r="F23" s="22">
        <f t="shared" si="1"/>
        <v>3281600000</v>
      </c>
      <c r="G23" s="22">
        <f t="shared" si="2"/>
        <v>1300000</v>
      </c>
      <c r="H23" s="167">
        <f t="shared" si="3"/>
        <v>11899200</v>
      </c>
      <c r="I23" s="167">
        <f t="shared" si="4"/>
        <v>475968</v>
      </c>
      <c r="J23" s="167">
        <f t="shared" si="5"/>
        <v>475968</v>
      </c>
      <c r="K23" s="167">
        <f t="shared" si="6"/>
        <v>713952</v>
      </c>
      <c r="L23" s="167">
        <f t="shared" si="7"/>
        <v>10233312</v>
      </c>
    </row>
    <row r="24" spans="1:12">
      <c r="A24" s="134" t="s">
        <v>39</v>
      </c>
      <c r="B24" s="21">
        <v>8</v>
      </c>
      <c r="C24" s="21">
        <v>25</v>
      </c>
      <c r="D24" s="21">
        <v>2</v>
      </c>
      <c r="E24" s="22">
        <f t="shared" si="0"/>
        <v>9171550</v>
      </c>
      <c r="F24" s="22">
        <f t="shared" si="1"/>
        <v>2403900000</v>
      </c>
      <c r="G24" s="22">
        <f t="shared" si="2"/>
        <v>1300000</v>
      </c>
      <c r="H24" s="167">
        <f t="shared" si="3"/>
        <v>10471550</v>
      </c>
      <c r="I24" s="167">
        <f t="shared" si="4"/>
        <v>418862</v>
      </c>
      <c r="J24" s="167">
        <f t="shared" si="5"/>
        <v>418862</v>
      </c>
      <c r="K24" s="167">
        <f t="shared" si="6"/>
        <v>628293</v>
      </c>
      <c r="L24" s="167">
        <f t="shared" si="7"/>
        <v>9005533</v>
      </c>
    </row>
    <row r="25" spans="1:12">
      <c r="A25" s="134" t="s">
        <v>40</v>
      </c>
      <c r="B25" s="21">
        <v>13</v>
      </c>
      <c r="C25" s="21">
        <v>8</v>
      </c>
      <c r="D25" s="21">
        <v>14</v>
      </c>
      <c r="E25" s="22">
        <f t="shared" si="0"/>
        <v>6225200</v>
      </c>
      <c r="F25" s="22">
        <f t="shared" si="1"/>
        <v>2013600000</v>
      </c>
      <c r="G25" s="22">
        <f t="shared" si="2"/>
        <v>1300000</v>
      </c>
      <c r="H25" s="167">
        <f t="shared" si="3"/>
        <v>7525200</v>
      </c>
      <c r="I25" s="167">
        <f t="shared" si="4"/>
        <v>301008</v>
      </c>
      <c r="J25" s="167">
        <f t="shared" si="5"/>
        <v>301008</v>
      </c>
      <c r="K25" s="167">
        <f t="shared" si="6"/>
        <v>451512</v>
      </c>
      <c r="L25" s="167">
        <f t="shared" si="7"/>
        <v>6471672</v>
      </c>
    </row>
    <row r="26" spans="1:12">
      <c r="A26" s="134" t="s">
        <v>41</v>
      </c>
      <c r="B26" s="21">
        <v>22</v>
      </c>
      <c r="C26" s="21">
        <v>23</v>
      </c>
      <c r="D26" s="21">
        <v>7</v>
      </c>
      <c r="E26" s="22">
        <f t="shared" si="0"/>
        <v>11422850</v>
      </c>
      <c r="F26" s="22">
        <f t="shared" si="1"/>
        <v>3549300000</v>
      </c>
      <c r="G26" s="22">
        <f t="shared" si="2"/>
        <v>1300000</v>
      </c>
      <c r="H26" s="167">
        <f t="shared" si="3"/>
        <v>12722850</v>
      </c>
      <c r="I26" s="167">
        <f t="shared" si="4"/>
        <v>508914</v>
      </c>
      <c r="J26" s="167">
        <f t="shared" si="5"/>
        <v>508914</v>
      </c>
      <c r="K26" s="167">
        <f t="shared" si="6"/>
        <v>763371</v>
      </c>
      <c r="L26" s="167">
        <f t="shared" si="7"/>
        <v>10941651</v>
      </c>
    </row>
    <row r="27" spans="1:12">
      <c r="A27" s="134" t="s">
        <v>42</v>
      </c>
      <c r="B27" s="21">
        <v>8</v>
      </c>
      <c r="C27" s="21">
        <v>5</v>
      </c>
      <c r="D27" s="21">
        <v>22</v>
      </c>
      <c r="E27" s="22">
        <f t="shared" si="0"/>
        <v>5460550</v>
      </c>
      <c r="F27" s="22">
        <f t="shared" si="1"/>
        <v>1645900000</v>
      </c>
      <c r="G27" s="22">
        <f t="shared" si="2"/>
        <v>1300000</v>
      </c>
      <c r="H27" s="167">
        <f t="shared" si="3"/>
        <v>6760550</v>
      </c>
      <c r="I27" s="167">
        <f t="shared" si="4"/>
        <v>270422</v>
      </c>
      <c r="J27" s="167">
        <f t="shared" si="5"/>
        <v>270422</v>
      </c>
      <c r="K27" s="167">
        <f t="shared" si="6"/>
        <v>405633</v>
      </c>
      <c r="L27" s="167">
        <f t="shared" si="7"/>
        <v>5814073</v>
      </c>
    </row>
    <row r="28" spans="1:12">
      <c r="A28" s="134" t="s">
        <v>43</v>
      </c>
      <c r="B28" s="21">
        <v>13</v>
      </c>
      <c r="C28" s="21">
        <v>20</v>
      </c>
      <c r="D28" s="21">
        <v>3</v>
      </c>
      <c r="E28" s="22">
        <f t="shared" si="0"/>
        <v>8571800</v>
      </c>
      <c r="F28" s="22">
        <f t="shared" si="1"/>
        <v>2498400000</v>
      </c>
      <c r="G28" s="22">
        <f t="shared" si="2"/>
        <v>1300000</v>
      </c>
      <c r="H28" s="167">
        <f t="shared" si="3"/>
        <v>9871800</v>
      </c>
      <c r="I28" s="167">
        <f t="shared" si="4"/>
        <v>394872</v>
      </c>
      <c r="J28" s="167">
        <f t="shared" si="5"/>
        <v>394872</v>
      </c>
      <c r="K28" s="167">
        <f t="shared" si="6"/>
        <v>592308</v>
      </c>
      <c r="L28" s="167">
        <f t="shared" si="7"/>
        <v>8489748</v>
      </c>
    </row>
    <row r="29" spans="1:12">
      <c r="A29" s="134" t="s">
        <v>44</v>
      </c>
      <c r="B29" s="21">
        <v>8</v>
      </c>
      <c r="C29" s="21">
        <v>10</v>
      </c>
      <c r="D29" s="21">
        <v>4</v>
      </c>
      <c r="E29" s="22">
        <f t="shared" si="0"/>
        <v>4828300</v>
      </c>
      <c r="F29" s="22">
        <f t="shared" si="1"/>
        <v>1445400000</v>
      </c>
      <c r="G29" s="22">
        <f t="shared" si="2"/>
        <v>1300000</v>
      </c>
      <c r="H29" s="167">
        <f t="shared" si="3"/>
        <v>6128300</v>
      </c>
      <c r="I29" s="167">
        <f t="shared" si="4"/>
        <v>245132</v>
      </c>
      <c r="J29" s="167">
        <f t="shared" si="5"/>
        <v>245132</v>
      </c>
      <c r="K29" s="167">
        <f t="shared" si="6"/>
        <v>367698</v>
      </c>
      <c r="L29" s="167">
        <f t="shared" si="7"/>
        <v>5270338</v>
      </c>
    </row>
    <row r="30" spans="1:12">
      <c r="A30" s="134" t="s">
        <v>45</v>
      </c>
      <c r="B30" s="21">
        <v>8</v>
      </c>
      <c r="C30" s="21">
        <v>16</v>
      </c>
      <c r="D30" s="21">
        <v>15</v>
      </c>
      <c r="E30" s="22">
        <f t="shared" si="0"/>
        <v>7981600</v>
      </c>
      <c r="F30" s="22">
        <f t="shared" si="1"/>
        <v>2182800000</v>
      </c>
      <c r="G30" s="22">
        <f t="shared" si="2"/>
        <v>1300000</v>
      </c>
      <c r="H30" s="167">
        <f t="shared" si="3"/>
        <v>9281600</v>
      </c>
      <c r="I30" s="167">
        <f t="shared" si="4"/>
        <v>371264</v>
      </c>
      <c r="J30" s="167">
        <f t="shared" si="5"/>
        <v>371264</v>
      </c>
      <c r="K30" s="167">
        <f t="shared" si="6"/>
        <v>556896</v>
      </c>
      <c r="L30" s="167">
        <f t="shared" si="7"/>
        <v>7982176</v>
      </c>
    </row>
    <row r="31" spans="1:12">
      <c r="A31" s="134" t="s">
        <v>46</v>
      </c>
      <c r="B31" s="21">
        <v>1</v>
      </c>
      <c r="C31" s="21">
        <v>4</v>
      </c>
      <c r="D31" s="21">
        <v>7</v>
      </c>
      <c r="E31" s="22">
        <f t="shared" si="0"/>
        <v>2223800</v>
      </c>
      <c r="F31" s="22">
        <f t="shared" si="1"/>
        <v>562400000</v>
      </c>
      <c r="G31" s="22">
        <f t="shared" si="2"/>
        <v>1300000</v>
      </c>
      <c r="H31" s="167">
        <f t="shared" si="3"/>
        <v>3523800</v>
      </c>
      <c r="I31" s="167">
        <f t="shared" si="4"/>
        <v>140952</v>
      </c>
      <c r="J31" s="167">
        <f t="shared" si="5"/>
        <v>140952</v>
      </c>
      <c r="K31" s="167">
        <f t="shared" si="6"/>
        <v>211428</v>
      </c>
      <c r="L31" s="167">
        <f t="shared" si="7"/>
        <v>3030468</v>
      </c>
    </row>
    <row r="32" spans="1:12">
      <c r="A32" s="134" t="s">
        <v>47</v>
      </c>
      <c r="B32" s="21">
        <v>10</v>
      </c>
      <c r="C32" s="21">
        <v>22</v>
      </c>
      <c r="D32" s="21">
        <v>1</v>
      </c>
      <c r="E32" s="22">
        <f t="shared" si="0"/>
        <v>8458100</v>
      </c>
      <c r="F32" s="22">
        <f t="shared" si="1"/>
        <v>2331800000</v>
      </c>
      <c r="G32" s="22">
        <f t="shared" si="2"/>
        <v>1300000</v>
      </c>
      <c r="H32" s="167">
        <f t="shared" si="3"/>
        <v>9758100</v>
      </c>
      <c r="I32" s="167">
        <f t="shared" si="4"/>
        <v>390324</v>
      </c>
      <c r="J32" s="167">
        <f t="shared" si="5"/>
        <v>390324</v>
      </c>
      <c r="K32" s="167">
        <f t="shared" si="6"/>
        <v>585486</v>
      </c>
      <c r="L32" s="167">
        <f t="shared" si="7"/>
        <v>8391966</v>
      </c>
    </row>
    <row r="33" spans="1:12">
      <c r="A33" s="134" t="s">
        <v>48</v>
      </c>
      <c r="B33" s="21">
        <v>19</v>
      </c>
      <c r="C33" s="21">
        <v>6</v>
      </c>
      <c r="D33" s="21">
        <v>2</v>
      </c>
      <c r="E33" s="22">
        <f t="shared" si="0"/>
        <v>5143700</v>
      </c>
      <c r="F33" s="22">
        <f t="shared" si="1"/>
        <v>2002600000</v>
      </c>
      <c r="G33" s="22">
        <f t="shared" si="2"/>
        <v>1300000</v>
      </c>
      <c r="H33" s="167">
        <f t="shared" si="3"/>
        <v>6443700</v>
      </c>
      <c r="I33" s="167">
        <f t="shared" si="4"/>
        <v>257748</v>
      </c>
      <c r="J33" s="167">
        <f t="shared" si="5"/>
        <v>257748</v>
      </c>
      <c r="K33" s="167">
        <f t="shared" si="6"/>
        <v>386622</v>
      </c>
      <c r="L33" s="167">
        <f t="shared" si="7"/>
        <v>5541582</v>
      </c>
    </row>
    <row r="34" spans="1:12">
      <c r="A34" s="134" t="s">
        <v>49</v>
      </c>
      <c r="B34" s="21">
        <v>21</v>
      </c>
      <c r="C34" s="21">
        <v>18</v>
      </c>
      <c r="D34" s="21">
        <v>5</v>
      </c>
      <c r="E34" s="22">
        <f t="shared" si="0"/>
        <v>9493500</v>
      </c>
      <c r="F34" s="22">
        <f t="shared" si="1"/>
        <v>3069000000</v>
      </c>
      <c r="G34" s="22">
        <f t="shared" si="2"/>
        <v>1300000</v>
      </c>
      <c r="H34" s="167">
        <f t="shared" si="3"/>
        <v>10793500</v>
      </c>
      <c r="I34" s="167">
        <f t="shared" si="4"/>
        <v>431740</v>
      </c>
      <c r="J34" s="167">
        <f t="shared" si="5"/>
        <v>431740</v>
      </c>
      <c r="K34" s="167">
        <f t="shared" si="6"/>
        <v>647610</v>
      </c>
      <c r="L34" s="167">
        <f t="shared" si="7"/>
        <v>9282410</v>
      </c>
    </row>
    <row r="35" spans="1:12">
      <c r="A35" s="134" t="s">
        <v>50</v>
      </c>
      <c r="B35" s="21">
        <v>19</v>
      </c>
      <c r="C35" s="21">
        <v>11</v>
      </c>
      <c r="D35" s="21">
        <v>5</v>
      </c>
      <c r="E35" s="22">
        <f t="shared" si="0"/>
        <v>7031450</v>
      </c>
      <c r="F35" s="22">
        <f t="shared" si="1"/>
        <v>2432100000</v>
      </c>
      <c r="G35" s="22">
        <f t="shared" si="2"/>
        <v>1300000</v>
      </c>
      <c r="H35" s="167">
        <f t="shared" si="3"/>
        <v>8331450</v>
      </c>
      <c r="I35" s="167">
        <f t="shared" si="4"/>
        <v>333258</v>
      </c>
      <c r="J35" s="167">
        <f t="shared" si="5"/>
        <v>333258</v>
      </c>
      <c r="K35" s="167">
        <f t="shared" si="6"/>
        <v>499887</v>
      </c>
      <c r="L35" s="167">
        <f t="shared" si="7"/>
        <v>7165047</v>
      </c>
    </row>
    <row r="36" spans="1:12">
      <c r="A36" s="134" t="s">
        <v>51</v>
      </c>
      <c r="B36" s="21">
        <v>16</v>
      </c>
      <c r="C36" s="21">
        <v>24</v>
      </c>
      <c r="D36" s="21">
        <v>17</v>
      </c>
      <c r="E36" s="22">
        <f t="shared" si="0"/>
        <v>11958800</v>
      </c>
      <c r="F36" s="22">
        <f t="shared" si="1"/>
        <v>3432400000</v>
      </c>
      <c r="G36" s="22">
        <f t="shared" si="2"/>
        <v>1300000</v>
      </c>
      <c r="H36" s="167">
        <f t="shared" si="3"/>
        <v>13258800</v>
      </c>
      <c r="I36" s="167">
        <f t="shared" si="4"/>
        <v>530352</v>
      </c>
      <c r="J36" s="167">
        <f t="shared" si="5"/>
        <v>530352</v>
      </c>
      <c r="K36" s="167">
        <f t="shared" si="6"/>
        <v>795528</v>
      </c>
      <c r="L36" s="167">
        <f t="shared" si="7"/>
        <v>11402568</v>
      </c>
    </row>
    <row r="37" spans="1:12">
      <c r="A37" s="134" t="s">
        <v>52</v>
      </c>
      <c r="B37" s="21">
        <v>11</v>
      </c>
      <c r="C37" s="21">
        <v>10</v>
      </c>
      <c r="D37" s="21">
        <v>7</v>
      </c>
      <c r="E37" s="22">
        <f t="shared" si="0"/>
        <v>5673100</v>
      </c>
      <c r="F37" s="22">
        <f t="shared" si="1"/>
        <v>1777800000</v>
      </c>
      <c r="G37" s="22">
        <f t="shared" si="2"/>
        <v>1300000</v>
      </c>
      <c r="H37" s="167">
        <f t="shared" si="3"/>
        <v>6973100</v>
      </c>
      <c r="I37" s="167">
        <f t="shared" si="4"/>
        <v>278924</v>
      </c>
      <c r="J37" s="167">
        <f t="shared" si="5"/>
        <v>278924</v>
      </c>
      <c r="K37" s="167">
        <f t="shared" si="6"/>
        <v>418386</v>
      </c>
      <c r="L37" s="167">
        <f t="shared" si="7"/>
        <v>5996866</v>
      </c>
    </row>
    <row r="38" spans="1:12">
      <c r="A38" s="134" t="s">
        <v>53</v>
      </c>
      <c r="B38" s="21">
        <v>14</v>
      </c>
      <c r="C38" s="21">
        <v>6</v>
      </c>
      <c r="D38" s="21">
        <v>21</v>
      </c>
      <c r="E38" s="22">
        <f t="shared" si="0"/>
        <v>6615700</v>
      </c>
      <c r="F38" s="22">
        <f t="shared" si="1"/>
        <v>2168600000</v>
      </c>
      <c r="G38" s="22">
        <f t="shared" si="2"/>
        <v>1300000</v>
      </c>
      <c r="H38" s="167">
        <f t="shared" si="3"/>
        <v>7915700</v>
      </c>
      <c r="I38" s="167">
        <f t="shared" si="4"/>
        <v>316628</v>
      </c>
      <c r="J38" s="167">
        <f t="shared" si="5"/>
        <v>316628</v>
      </c>
      <c r="K38" s="167">
        <f t="shared" si="6"/>
        <v>474942</v>
      </c>
      <c r="L38" s="167">
        <f t="shared" si="7"/>
        <v>6807502</v>
      </c>
    </row>
    <row r="39" spans="1:12">
      <c r="A39" s="134" t="s">
        <v>54</v>
      </c>
      <c r="B39" s="21">
        <v>12</v>
      </c>
      <c r="C39" s="21">
        <v>3</v>
      </c>
      <c r="D39" s="21">
        <v>15</v>
      </c>
      <c r="E39" s="22">
        <f t="shared" si="0"/>
        <v>4655850</v>
      </c>
      <c r="F39" s="22">
        <f t="shared" si="1"/>
        <v>1623300000</v>
      </c>
      <c r="G39" s="22">
        <f t="shared" si="2"/>
        <v>1300000</v>
      </c>
      <c r="H39" s="167">
        <f t="shared" si="3"/>
        <v>5955850</v>
      </c>
      <c r="I39" s="167">
        <f t="shared" si="4"/>
        <v>238234</v>
      </c>
      <c r="J39" s="167">
        <f t="shared" si="5"/>
        <v>238234</v>
      </c>
      <c r="K39" s="167">
        <f t="shared" si="6"/>
        <v>357351</v>
      </c>
      <c r="L39" s="167">
        <f t="shared" si="7"/>
        <v>5122031</v>
      </c>
    </row>
    <row r="41" spans="1:12">
      <c r="A41" s="133" t="s">
        <v>480</v>
      </c>
      <c r="C41" s="238" t="s">
        <v>481</v>
      </c>
      <c r="D41" s="238"/>
      <c r="E41" s="238"/>
    </row>
    <row r="42" spans="1:12">
      <c r="A42" s="132">
        <f>COUNTA(A10:A39)</f>
        <v>30</v>
      </c>
      <c r="C42" s="99" t="s">
        <v>349</v>
      </c>
      <c r="D42" s="99" t="s">
        <v>348</v>
      </c>
      <c r="E42" s="99" t="s">
        <v>350</v>
      </c>
    </row>
    <row r="43" spans="1:12">
      <c r="C43" s="5">
        <f>SUM(B10:B39)</f>
        <v>337</v>
      </c>
      <c r="D43" s="5">
        <f>SUM(C10:C39)</f>
        <v>373</v>
      </c>
      <c r="E43" s="5">
        <f>SUM(D10:D39)</f>
        <v>335</v>
      </c>
    </row>
  </sheetData>
  <mergeCells count="16">
    <mergeCell ref="A1:L1"/>
    <mergeCell ref="F8:F9"/>
    <mergeCell ref="E3:F3"/>
    <mergeCell ref="H4:I4"/>
    <mergeCell ref="H5:I5"/>
    <mergeCell ref="A8:A9"/>
    <mergeCell ref="B8:D8"/>
    <mergeCell ref="E8:E9"/>
    <mergeCell ref="G8:G9"/>
    <mergeCell ref="H8:H9"/>
    <mergeCell ref="H3:J3"/>
    <mergeCell ref="C41:E41"/>
    <mergeCell ref="I8:I9"/>
    <mergeCell ref="J8:J9"/>
    <mergeCell ref="K8:K9"/>
    <mergeCell ref="L8:L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topLeftCell="E1" zoomScale="86" zoomScaleNormal="86" workbookViewId="0">
      <selection activeCell="N4" sqref="N4"/>
    </sheetView>
  </sheetViews>
  <sheetFormatPr baseColWidth="10" defaultRowHeight="15"/>
  <cols>
    <col min="1" max="1" width="10.28515625" customWidth="1"/>
    <col min="2" max="2" width="10.140625" customWidth="1"/>
    <col min="3" max="3" width="10.5703125" customWidth="1"/>
    <col min="4" max="4" width="13.140625" customWidth="1"/>
    <col min="11" max="11" width="14.140625" customWidth="1"/>
    <col min="14" max="14" width="13.140625" bestFit="1" customWidth="1"/>
    <col min="15" max="15" width="14.140625" customWidth="1"/>
    <col min="16" max="18" width="13" customWidth="1"/>
    <col min="21" max="21" width="15.140625" customWidth="1"/>
  </cols>
  <sheetData>
    <row r="1" spans="1:21" ht="46.5">
      <c r="A1" s="258" t="str">
        <f ca="1">"NÓMINA MENSUAL - MES:  "&amp;UPPER(TEXT(TODAY()-33,"MMMM"))</f>
        <v>NÓMINA MENSUAL - MES:  ENERO</v>
      </c>
      <c r="B1" s="258"/>
      <c r="C1" s="258"/>
      <c r="D1" s="258"/>
      <c r="E1" s="258"/>
      <c r="F1" s="258"/>
      <c r="G1" s="258"/>
      <c r="H1" s="258"/>
      <c r="I1" s="258"/>
      <c r="J1" s="258"/>
      <c r="K1" s="258"/>
      <c r="L1" s="258"/>
      <c r="M1" s="258"/>
      <c r="N1" s="258"/>
      <c r="O1" s="258"/>
      <c r="P1" s="258"/>
      <c r="Q1" s="258"/>
      <c r="R1" s="258"/>
      <c r="S1" s="258"/>
      <c r="T1" s="258"/>
      <c r="U1" s="258"/>
    </row>
    <row r="2" spans="1:21">
      <c r="A2" s="266" t="s">
        <v>496</v>
      </c>
      <c r="B2" s="266"/>
      <c r="L2" s="11"/>
      <c r="M2" s="11"/>
      <c r="N2" s="11"/>
    </row>
    <row r="3" spans="1:21">
      <c r="H3" s="267" t="s">
        <v>134</v>
      </c>
      <c r="I3" s="267"/>
      <c r="J3" s="255">
        <f>SUM(D10:D39)</f>
        <v>61555606</v>
      </c>
      <c r="K3" s="256"/>
      <c r="L3" s="11"/>
      <c r="M3" s="11"/>
      <c r="N3" s="11"/>
    </row>
    <row r="4" spans="1:21" ht="18.75">
      <c r="A4" s="265" t="s">
        <v>114</v>
      </c>
      <c r="B4" s="265"/>
      <c r="C4" s="265"/>
      <c r="H4" s="253" t="s">
        <v>135</v>
      </c>
      <c r="I4" s="254"/>
      <c r="J4" s="255">
        <f>SUM(O10:O39)</f>
        <v>66514067.021666653</v>
      </c>
      <c r="K4" s="256"/>
      <c r="L4" s="11"/>
      <c r="M4" s="11"/>
      <c r="N4" s="11"/>
      <c r="O4" s="261" t="s">
        <v>136</v>
      </c>
      <c r="P4" s="262"/>
      <c r="Q4" s="263">
        <f>MAX(U10:U39)</f>
        <v>3423744.625</v>
      </c>
      <c r="R4" s="264"/>
    </row>
    <row r="5" spans="1:21" ht="30">
      <c r="A5" s="27" t="s">
        <v>115</v>
      </c>
      <c r="B5" s="27" t="s">
        <v>116</v>
      </c>
      <c r="C5" s="27" t="s">
        <v>117</v>
      </c>
      <c r="E5" s="27" t="s">
        <v>123</v>
      </c>
      <c r="F5" s="27" t="s">
        <v>124</v>
      </c>
      <c r="H5" s="253" t="s">
        <v>130</v>
      </c>
      <c r="I5" s="254"/>
      <c r="J5" s="255">
        <f>SUM(S10:S39)</f>
        <v>7161125.3617333332</v>
      </c>
      <c r="K5" s="256"/>
      <c r="L5" s="52"/>
      <c r="M5" s="52"/>
      <c r="N5" s="52"/>
      <c r="O5" s="261" t="s">
        <v>137</v>
      </c>
      <c r="P5" s="262"/>
      <c r="Q5" s="263">
        <f>MIN(U10:U39)</f>
        <v>1217942.5</v>
      </c>
      <c r="R5" s="264"/>
    </row>
    <row r="6" spans="1:21" ht="30" customHeight="1">
      <c r="A6" s="28">
        <v>1.25</v>
      </c>
      <c r="B6" s="28">
        <v>1.35</v>
      </c>
      <c r="C6" s="28">
        <v>1.75</v>
      </c>
      <c r="E6" s="28">
        <v>0.04</v>
      </c>
      <c r="F6" s="28">
        <v>0.04</v>
      </c>
      <c r="H6" s="251" t="s">
        <v>132</v>
      </c>
      <c r="I6" s="252"/>
      <c r="J6" s="259">
        <f>SUM(U10:U39)</f>
        <v>61110521.659933336</v>
      </c>
      <c r="K6" s="260"/>
      <c r="O6" s="261" t="s">
        <v>138</v>
      </c>
      <c r="P6" s="262"/>
      <c r="Q6" s="263">
        <f>AVERAGE(U10:U39)</f>
        <v>2037017.3886644444</v>
      </c>
      <c r="R6" s="264"/>
    </row>
    <row r="8" spans="1:21">
      <c r="A8" s="269" t="s">
        <v>125</v>
      </c>
      <c r="B8" s="269"/>
      <c r="C8" s="269"/>
      <c r="D8" s="269"/>
      <c r="E8" s="269" t="s">
        <v>126</v>
      </c>
      <c r="F8" s="269"/>
      <c r="G8" s="269"/>
      <c r="H8" s="269" t="s">
        <v>127</v>
      </c>
      <c r="I8" s="269"/>
      <c r="J8" s="269"/>
      <c r="K8" s="269"/>
      <c r="L8" s="269" t="s">
        <v>303</v>
      </c>
      <c r="M8" s="269"/>
      <c r="N8" s="269"/>
      <c r="O8" s="268" t="s">
        <v>131</v>
      </c>
      <c r="P8" s="269" t="s">
        <v>133</v>
      </c>
      <c r="Q8" s="269"/>
      <c r="R8" s="269"/>
      <c r="S8" s="268" t="s">
        <v>130</v>
      </c>
      <c r="T8" s="268" t="s">
        <v>289</v>
      </c>
      <c r="U8" s="268" t="s">
        <v>132</v>
      </c>
    </row>
    <row r="9" spans="1:21" ht="30">
      <c r="A9" s="268" t="s">
        <v>118</v>
      </c>
      <c r="B9" s="268"/>
      <c r="C9" s="268"/>
      <c r="D9" s="27" t="s">
        <v>66</v>
      </c>
      <c r="E9" s="27" t="s">
        <v>119</v>
      </c>
      <c r="F9" s="27" t="s">
        <v>120</v>
      </c>
      <c r="G9" s="27" t="s">
        <v>121</v>
      </c>
      <c r="H9" s="27" t="s">
        <v>122</v>
      </c>
      <c r="I9" s="27" t="s">
        <v>300</v>
      </c>
      <c r="J9" s="27" t="s">
        <v>301</v>
      </c>
      <c r="K9" s="27" t="s">
        <v>302</v>
      </c>
      <c r="L9" s="47" t="s">
        <v>304</v>
      </c>
      <c r="M9" s="47" t="s">
        <v>305</v>
      </c>
      <c r="N9" s="47" t="s">
        <v>306</v>
      </c>
      <c r="O9" s="268"/>
      <c r="P9" s="27" t="s">
        <v>128</v>
      </c>
      <c r="Q9" s="56" t="s">
        <v>129</v>
      </c>
      <c r="R9" s="27" t="s">
        <v>361</v>
      </c>
      <c r="S9" s="268"/>
      <c r="T9" s="270"/>
      <c r="U9" s="268"/>
    </row>
    <row r="10" spans="1:21">
      <c r="A10" s="257" t="s">
        <v>84</v>
      </c>
      <c r="B10" s="257"/>
      <c r="C10" s="257"/>
      <c r="D10" s="30">
        <v>3426500</v>
      </c>
      <c r="E10" s="53">
        <v>5</v>
      </c>
      <c r="F10" s="53">
        <v>9</v>
      </c>
      <c r="G10" s="53">
        <v>7</v>
      </c>
      <c r="H10" s="162">
        <f>D10/240</f>
        <v>14277.083333333334</v>
      </c>
      <c r="I10" s="163">
        <f>H10*125%</f>
        <v>17846.354166666668</v>
      </c>
      <c r="J10" s="163">
        <f>H10*135%</f>
        <v>19274.062500000004</v>
      </c>
      <c r="K10" s="163">
        <f>H10*175%</f>
        <v>24984.895833333336</v>
      </c>
      <c r="L10" s="164">
        <f>I10*E10</f>
        <v>89231.770833333343</v>
      </c>
      <c r="M10" s="164">
        <f>J10*F10</f>
        <v>173466.56250000003</v>
      </c>
      <c r="N10" s="164">
        <f>K10*G10</f>
        <v>174894.27083333334</v>
      </c>
      <c r="O10" s="160">
        <f>D10+L10+M10+N10</f>
        <v>3864092.604166667</v>
      </c>
      <c r="P10" s="165">
        <f>O10*4%</f>
        <v>154563.70416666669</v>
      </c>
      <c r="Q10" s="165">
        <f>O10*4%</f>
        <v>154563.70416666669</v>
      </c>
      <c r="R10" s="29">
        <v>200000</v>
      </c>
      <c r="S10" s="166">
        <f>P10+Q10+R10</f>
        <v>509127.40833333338</v>
      </c>
      <c r="T10" s="31">
        <f>IF(D10&gt;1000000*2,0,117172)</f>
        <v>0</v>
      </c>
      <c r="U10" s="165">
        <f>O10-S10+T10</f>
        <v>3354965.1958333338</v>
      </c>
    </row>
    <row r="11" spans="1:21">
      <c r="A11" s="257" t="s">
        <v>85</v>
      </c>
      <c r="B11" s="257"/>
      <c r="C11" s="257"/>
      <c r="D11" s="30">
        <v>1240000</v>
      </c>
      <c r="E11" s="53">
        <v>6</v>
      </c>
      <c r="F11" s="53">
        <v>2</v>
      </c>
      <c r="G11" s="53">
        <v>3</v>
      </c>
      <c r="H11" s="162">
        <f t="shared" ref="H11:H39" si="0">D11/240</f>
        <v>5166.666666666667</v>
      </c>
      <c r="I11" s="163">
        <f t="shared" ref="I11:I39" si="1">H11*125%</f>
        <v>6458.3333333333339</v>
      </c>
      <c r="J11" s="163">
        <f t="shared" ref="J11:J39" si="2">H11*135%</f>
        <v>6975.0000000000009</v>
      </c>
      <c r="K11" s="163">
        <f t="shared" ref="K11:K39" si="3">H11*175%</f>
        <v>9041.6666666666679</v>
      </c>
      <c r="L11" s="164">
        <f t="shared" ref="L11:L39" si="4">I11*E11</f>
        <v>38750</v>
      </c>
      <c r="M11" s="164">
        <f t="shared" ref="M11:M39" si="5">J11*F11</f>
        <v>13950.000000000002</v>
      </c>
      <c r="N11" s="164">
        <f t="shared" ref="N11:N39" si="6">K11*G11</f>
        <v>27125.000000000004</v>
      </c>
      <c r="O11" s="160">
        <f t="shared" ref="O11:O39" si="7">D11+L11+M11+N11</f>
        <v>1319825</v>
      </c>
      <c r="P11" s="165">
        <f t="shared" ref="P11:P39" si="8">O11*4%</f>
        <v>52793</v>
      </c>
      <c r="Q11" s="165">
        <f t="shared" ref="Q11:Q39" si="9">O11*4%</f>
        <v>52793</v>
      </c>
      <c r="R11" s="29">
        <v>50000</v>
      </c>
      <c r="S11" s="166">
        <f t="shared" ref="S11:S39" si="10">P11+Q11+R11</f>
        <v>155586</v>
      </c>
      <c r="T11" s="31">
        <f t="shared" ref="T11:T39" si="11">IF(D11&gt;1000000*2,0,117172)</f>
        <v>117172</v>
      </c>
      <c r="U11" s="165">
        <f t="shared" ref="U11:U39" si="12">O11-S11+T11</f>
        <v>1281411</v>
      </c>
    </row>
    <row r="12" spans="1:21">
      <c r="A12" s="257" t="s">
        <v>86</v>
      </c>
      <c r="B12" s="257"/>
      <c r="C12" s="257"/>
      <c r="D12" s="30">
        <v>2631300</v>
      </c>
      <c r="E12" s="53">
        <v>1</v>
      </c>
      <c r="F12" s="53">
        <v>5</v>
      </c>
      <c r="G12" s="53">
        <v>0</v>
      </c>
      <c r="H12" s="162">
        <f t="shared" si="0"/>
        <v>10963.75</v>
      </c>
      <c r="I12" s="163">
        <f t="shared" si="1"/>
        <v>13704.6875</v>
      </c>
      <c r="J12" s="163">
        <f t="shared" si="2"/>
        <v>14801.062500000002</v>
      </c>
      <c r="K12" s="163">
        <f t="shared" si="3"/>
        <v>19186.5625</v>
      </c>
      <c r="L12" s="164">
        <f t="shared" si="4"/>
        <v>13704.6875</v>
      </c>
      <c r="M12" s="164">
        <f t="shared" si="5"/>
        <v>74005.312500000015</v>
      </c>
      <c r="N12" s="164">
        <f t="shared" si="6"/>
        <v>0</v>
      </c>
      <c r="O12" s="160">
        <f t="shared" si="7"/>
        <v>2719010</v>
      </c>
      <c r="P12" s="165">
        <f t="shared" si="8"/>
        <v>108760.40000000001</v>
      </c>
      <c r="Q12" s="165">
        <f t="shared" si="9"/>
        <v>108760.40000000001</v>
      </c>
      <c r="R12" s="29">
        <v>150000</v>
      </c>
      <c r="S12" s="166">
        <f t="shared" si="10"/>
        <v>367520.80000000005</v>
      </c>
      <c r="T12" s="31">
        <f t="shared" si="11"/>
        <v>0</v>
      </c>
      <c r="U12" s="165">
        <f t="shared" si="12"/>
        <v>2351489.2000000002</v>
      </c>
    </row>
    <row r="13" spans="1:21">
      <c r="A13" s="257" t="s">
        <v>87</v>
      </c>
      <c r="B13" s="257"/>
      <c r="C13" s="257"/>
      <c r="D13" s="30">
        <v>1747300</v>
      </c>
      <c r="E13" s="53">
        <v>8</v>
      </c>
      <c r="F13" s="53">
        <v>6</v>
      </c>
      <c r="G13" s="53">
        <v>5</v>
      </c>
      <c r="H13" s="162">
        <f t="shared" si="0"/>
        <v>7280.416666666667</v>
      </c>
      <c r="I13" s="163">
        <f t="shared" si="1"/>
        <v>9100.5208333333339</v>
      </c>
      <c r="J13" s="163">
        <f t="shared" si="2"/>
        <v>9828.5625000000018</v>
      </c>
      <c r="K13" s="163">
        <f t="shared" si="3"/>
        <v>12740.729166666668</v>
      </c>
      <c r="L13" s="164">
        <f t="shared" si="4"/>
        <v>72804.166666666672</v>
      </c>
      <c r="M13" s="164">
        <f t="shared" si="5"/>
        <v>58971.375000000015</v>
      </c>
      <c r="N13" s="164">
        <f t="shared" si="6"/>
        <v>63703.645833333343</v>
      </c>
      <c r="O13" s="160">
        <f t="shared" si="7"/>
        <v>1942779.1875</v>
      </c>
      <c r="P13" s="165">
        <f t="shared" si="8"/>
        <v>77711.167499999996</v>
      </c>
      <c r="Q13" s="165">
        <f t="shared" si="9"/>
        <v>77711.167499999996</v>
      </c>
      <c r="R13" s="29"/>
      <c r="S13" s="166">
        <f t="shared" si="10"/>
        <v>155422.33499999999</v>
      </c>
      <c r="T13" s="31">
        <f t="shared" si="11"/>
        <v>117172</v>
      </c>
      <c r="U13" s="165">
        <f t="shared" si="12"/>
        <v>1904528.8525</v>
      </c>
    </row>
    <row r="14" spans="1:21">
      <c r="A14" s="257" t="s">
        <v>88</v>
      </c>
      <c r="B14" s="257"/>
      <c r="C14" s="257"/>
      <c r="D14" s="30">
        <v>1601600</v>
      </c>
      <c r="E14" s="53">
        <v>8</v>
      </c>
      <c r="F14" s="53">
        <v>8</v>
      </c>
      <c r="G14" s="53">
        <v>2</v>
      </c>
      <c r="H14" s="162">
        <f t="shared" si="0"/>
        <v>6673.333333333333</v>
      </c>
      <c r="I14" s="163">
        <f t="shared" si="1"/>
        <v>8341.6666666666661</v>
      </c>
      <c r="J14" s="163">
        <f t="shared" si="2"/>
        <v>9009</v>
      </c>
      <c r="K14" s="163">
        <f t="shared" si="3"/>
        <v>11678.333333333332</v>
      </c>
      <c r="L14" s="164">
        <f t="shared" si="4"/>
        <v>66733.333333333328</v>
      </c>
      <c r="M14" s="164">
        <f t="shared" si="5"/>
        <v>72072</v>
      </c>
      <c r="N14" s="164">
        <f t="shared" si="6"/>
        <v>23356.666666666664</v>
      </c>
      <c r="O14" s="160">
        <f t="shared" si="7"/>
        <v>1763762</v>
      </c>
      <c r="P14" s="165">
        <f t="shared" si="8"/>
        <v>70550.48</v>
      </c>
      <c r="Q14" s="165">
        <f t="shared" si="9"/>
        <v>70550.48</v>
      </c>
      <c r="R14" s="29">
        <v>50000</v>
      </c>
      <c r="S14" s="166">
        <f t="shared" si="10"/>
        <v>191100.96</v>
      </c>
      <c r="T14" s="31">
        <f t="shared" si="11"/>
        <v>117172</v>
      </c>
      <c r="U14" s="165">
        <f t="shared" si="12"/>
        <v>1689833.04</v>
      </c>
    </row>
    <row r="15" spans="1:21">
      <c r="A15" s="257" t="s">
        <v>89</v>
      </c>
      <c r="B15" s="257"/>
      <c r="C15" s="257"/>
      <c r="D15" s="30">
        <v>2491800</v>
      </c>
      <c r="E15" s="53">
        <v>2</v>
      </c>
      <c r="F15" s="53">
        <v>9</v>
      </c>
      <c r="G15" s="53">
        <v>1</v>
      </c>
      <c r="H15" s="162">
        <f t="shared" si="0"/>
        <v>10382.5</v>
      </c>
      <c r="I15" s="163">
        <f t="shared" si="1"/>
        <v>12978.125</v>
      </c>
      <c r="J15" s="163">
        <f t="shared" si="2"/>
        <v>14016.375000000002</v>
      </c>
      <c r="K15" s="163">
        <f t="shared" si="3"/>
        <v>18169.375</v>
      </c>
      <c r="L15" s="164">
        <f t="shared" si="4"/>
        <v>25956.25</v>
      </c>
      <c r="M15" s="164">
        <f t="shared" si="5"/>
        <v>126147.37500000001</v>
      </c>
      <c r="N15" s="164">
        <f t="shared" si="6"/>
        <v>18169.375</v>
      </c>
      <c r="O15" s="160">
        <f t="shared" si="7"/>
        <v>2662073</v>
      </c>
      <c r="P15" s="165">
        <f t="shared" si="8"/>
        <v>106482.92</v>
      </c>
      <c r="Q15" s="165">
        <f t="shared" si="9"/>
        <v>106482.92</v>
      </c>
      <c r="R15" s="29">
        <v>50000</v>
      </c>
      <c r="S15" s="166">
        <f t="shared" si="10"/>
        <v>262965.83999999997</v>
      </c>
      <c r="T15" s="31">
        <f t="shared" si="11"/>
        <v>0</v>
      </c>
      <c r="U15" s="165">
        <f t="shared" si="12"/>
        <v>2399107.16</v>
      </c>
    </row>
    <row r="16" spans="1:21">
      <c r="A16" s="257" t="s">
        <v>90</v>
      </c>
      <c r="B16" s="257"/>
      <c r="C16" s="257"/>
      <c r="D16" s="30">
        <v>2602400</v>
      </c>
      <c r="E16" s="53">
        <v>2</v>
      </c>
      <c r="F16" s="53">
        <v>6</v>
      </c>
      <c r="G16" s="53">
        <v>8</v>
      </c>
      <c r="H16" s="162">
        <f t="shared" si="0"/>
        <v>10843.333333333334</v>
      </c>
      <c r="I16" s="163">
        <f t="shared" si="1"/>
        <v>13554.166666666668</v>
      </c>
      <c r="J16" s="163">
        <f t="shared" si="2"/>
        <v>14638.500000000002</v>
      </c>
      <c r="K16" s="163">
        <f t="shared" si="3"/>
        <v>18975.833333333336</v>
      </c>
      <c r="L16" s="164">
        <f t="shared" si="4"/>
        <v>27108.333333333336</v>
      </c>
      <c r="M16" s="164">
        <f t="shared" si="5"/>
        <v>87831.000000000015</v>
      </c>
      <c r="N16" s="164">
        <f t="shared" si="6"/>
        <v>151806.66666666669</v>
      </c>
      <c r="O16" s="160">
        <f t="shared" si="7"/>
        <v>2869146</v>
      </c>
      <c r="P16" s="165">
        <f t="shared" si="8"/>
        <v>114765.84</v>
      </c>
      <c r="Q16" s="165">
        <f t="shared" si="9"/>
        <v>114765.84</v>
      </c>
      <c r="R16" s="29">
        <v>100000</v>
      </c>
      <c r="S16" s="166">
        <f t="shared" si="10"/>
        <v>329531.68</v>
      </c>
      <c r="T16" s="31">
        <f t="shared" si="11"/>
        <v>0</v>
      </c>
      <c r="U16" s="165">
        <f t="shared" si="12"/>
        <v>2539614.3199999998</v>
      </c>
    </row>
    <row r="17" spans="1:21">
      <c r="A17" s="257" t="s">
        <v>91</v>
      </c>
      <c r="B17" s="257"/>
      <c r="C17" s="257"/>
      <c r="D17" s="30">
        <v>3502200</v>
      </c>
      <c r="E17" s="53">
        <v>4</v>
      </c>
      <c r="F17" s="53">
        <v>5</v>
      </c>
      <c r="G17" s="53">
        <v>4</v>
      </c>
      <c r="H17" s="162">
        <f t="shared" si="0"/>
        <v>14592.5</v>
      </c>
      <c r="I17" s="163">
        <f t="shared" si="1"/>
        <v>18240.625</v>
      </c>
      <c r="J17" s="163">
        <f t="shared" si="2"/>
        <v>19699.875</v>
      </c>
      <c r="K17" s="163">
        <f t="shared" si="3"/>
        <v>25536.875</v>
      </c>
      <c r="L17" s="164">
        <f t="shared" si="4"/>
        <v>72962.5</v>
      </c>
      <c r="M17" s="164">
        <f t="shared" si="5"/>
        <v>98499.375</v>
      </c>
      <c r="N17" s="164">
        <f t="shared" si="6"/>
        <v>102147.5</v>
      </c>
      <c r="O17" s="160">
        <f t="shared" si="7"/>
        <v>3775809.375</v>
      </c>
      <c r="P17" s="165">
        <f t="shared" si="8"/>
        <v>151032.375</v>
      </c>
      <c r="Q17" s="165">
        <f t="shared" si="9"/>
        <v>151032.375</v>
      </c>
      <c r="R17" s="29">
        <v>50000</v>
      </c>
      <c r="S17" s="166">
        <f t="shared" si="10"/>
        <v>352064.75</v>
      </c>
      <c r="T17" s="31">
        <f t="shared" si="11"/>
        <v>0</v>
      </c>
      <c r="U17" s="165">
        <f t="shared" si="12"/>
        <v>3423744.625</v>
      </c>
    </row>
    <row r="18" spans="1:21">
      <c r="A18" s="257" t="s">
        <v>92</v>
      </c>
      <c r="B18" s="257"/>
      <c r="C18" s="257"/>
      <c r="D18" s="30">
        <v>1981700</v>
      </c>
      <c r="E18" s="53">
        <v>7</v>
      </c>
      <c r="F18" s="53">
        <v>5</v>
      </c>
      <c r="G18" s="53">
        <v>5</v>
      </c>
      <c r="H18" s="162">
        <f t="shared" si="0"/>
        <v>8257.0833333333339</v>
      </c>
      <c r="I18" s="163">
        <f t="shared" si="1"/>
        <v>10321.354166666668</v>
      </c>
      <c r="J18" s="163">
        <f t="shared" si="2"/>
        <v>11147.062500000002</v>
      </c>
      <c r="K18" s="163">
        <f t="shared" si="3"/>
        <v>14449.895833333334</v>
      </c>
      <c r="L18" s="164">
        <f t="shared" si="4"/>
        <v>72249.479166666672</v>
      </c>
      <c r="M18" s="164">
        <f t="shared" si="5"/>
        <v>55735.312500000007</v>
      </c>
      <c r="N18" s="164">
        <f t="shared" si="6"/>
        <v>72249.479166666672</v>
      </c>
      <c r="O18" s="160">
        <f t="shared" si="7"/>
        <v>2181934.2708333335</v>
      </c>
      <c r="P18" s="165">
        <f t="shared" si="8"/>
        <v>87277.370833333334</v>
      </c>
      <c r="Q18" s="165">
        <f t="shared" si="9"/>
        <v>87277.370833333334</v>
      </c>
      <c r="R18" s="29">
        <v>50000</v>
      </c>
      <c r="S18" s="166">
        <f t="shared" si="10"/>
        <v>224554.74166666667</v>
      </c>
      <c r="T18" s="31">
        <f t="shared" si="11"/>
        <v>117172</v>
      </c>
      <c r="U18" s="165">
        <f t="shared" si="12"/>
        <v>2074551.5291666668</v>
      </c>
    </row>
    <row r="19" spans="1:21">
      <c r="A19" s="257" t="s">
        <v>93</v>
      </c>
      <c r="B19" s="257"/>
      <c r="C19" s="257"/>
      <c r="D19" s="30">
        <v>1671000</v>
      </c>
      <c r="E19" s="53">
        <v>7</v>
      </c>
      <c r="F19" s="53">
        <v>5</v>
      </c>
      <c r="G19" s="53">
        <v>7</v>
      </c>
      <c r="H19" s="162">
        <f t="shared" si="0"/>
        <v>6962.5</v>
      </c>
      <c r="I19" s="163">
        <f t="shared" si="1"/>
        <v>8703.125</v>
      </c>
      <c r="J19" s="163">
        <f t="shared" si="2"/>
        <v>9399.375</v>
      </c>
      <c r="K19" s="163">
        <f t="shared" si="3"/>
        <v>12184.375</v>
      </c>
      <c r="L19" s="164">
        <f t="shared" si="4"/>
        <v>60921.875</v>
      </c>
      <c r="M19" s="164">
        <f t="shared" si="5"/>
        <v>46996.875</v>
      </c>
      <c r="N19" s="164">
        <f t="shared" si="6"/>
        <v>85290.625</v>
      </c>
      <c r="O19" s="160">
        <f t="shared" si="7"/>
        <v>1864209.375</v>
      </c>
      <c r="P19" s="165">
        <f t="shared" si="8"/>
        <v>74568.375</v>
      </c>
      <c r="Q19" s="165">
        <f t="shared" si="9"/>
        <v>74568.375</v>
      </c>
      <c r="R19" s="29"/>
      <c r="S19" s="166">
        <f t="shared" si="10"/>
        <v>149136.75</v>
      </c>
      <c r="T19" s="31">
        <f t="shared" si="11"/>
        <v>117172</v>
      </c>
      <c r="U19" s="165">
        <f t="shared" si="12"/>
        <v>1832244.625</v>
      </c>
    </row>
    <row r="20" spans="1:21">
      <c r="A20" s="257" t="s">
        <v>94</v>
      </c>
      <c r="B20" s="257"/>
      <c r="C20" s="257"/>
      <c r="D20" s="30">
        <v>2801100</v>
      </c>
      <c r="E20" s="53">
        <v>4</v>
      </c>
      <c r="F20" s="53">
        <v>1</v>
      </c>
      <c r="G20" s="53">
        <v>9</v>
      </c>
      <c r="H20" s="162">
        <f t="shared" si="0"/>
        <v>11671.25</v>
      </c>
      <c r="I20" s="163">
        <f t="shared" si="1"/>
        <v>14589.0625</v>
      </c>
      <c r="J20" s="163">
        <f t="shared" si="2"/>
        <v>15756.187500000002</v>
      </c>
      <c r="K20" s="163">
        <f t="shared" si="3"/>
        <v>20424.6875</v>
      </c>
      <c r="L20" s="164">
        <f t="shared" si="4"/>
        <v>58356.25</v>
      </c>
      <c r="M20" s="164">
        <f t="shared" si="5"/>
        <v>15756.187500000002</v>
      </c>
      <c r="N20" s="164">
        <f t="shared" si="6"/>
        <v>183822.1875</v>
      </c>
      <c r="O20" s="160">
        <f t="shared" si="7"/>
        <v>3059034.625</v>
      </c>
      <c r="P20" s="165">
        <f t="shared" si="8"/>
        <v>122361.38500000001</v>
      </c>
      <c r="Q20" s="165">
        <f t="shared" si="9"/>
        <v>122361.38500000001</v>
      </c>
      <c r="R20" s="29">
        <v>80000</v>
      </c>
      <c r="S20" s="166">
        <f t="shared" si="10"/>
        <v>324722.77</v>
      </c>
      <c r="T20" s="31">
        <f t="shared" si="11"/>
        <v>0</v>
      </c>
      <c r="U20" s="165">
        <f t="shared" si="12"/>
        <v>2734311.855</v>
      </c>
    </row>
    <row r="21" spans="1:21">
      <c r="A21" s="257" t="s">
        <v>95</v>
      </c>
      <c r="B21" s="257"/>
      <c r="C21" s="257"/>
      <c r="D21" s="30">
        <v>1663200</v>
      </c>
      <c r="E21" s="53">
        <v>1</v>
      </c>
      <c r="F21" s="53">
        <v>8</v>
      </c>
      <c r="G21" s="53">
        <v>0</v>
      </c>
      <c r="H21" s="162">
        <f t="shared" si="0"/>
        <v>6930</v>
      </c>
      <c r="I21" s="163">
        <f t="shared" si="1"/>
        <v>8662.5</v>
      </c>
      <c r="J21" s="163">
        <f t="shared" si="2"/>
        <v>9355.5</v>
      </c>
      <c r="K21" s="163">
        <f t="shared" si="3"/>
        <v>12127.5</v>
      </c>
      <c r="L21" s="164">
        <f t="shared" si="4"/>
        <v>8662.5</v>
      </c>
      <c r="M21" s="164">
        <f t="shared" si="5"/>
        <v>74844</v>
      </c>
      <c r="N21" s="164">
        <f t="shared" si="6"/>
        <v>0</v>
      </c>
      <c r="O21" s="160">
        <f t="shared" si="7"/>
        <v>1746706.5</v>
      </c>
      <c r="P21" s="165">
        <f t="shared" si="8"/>
        <v>69868.259999999995</v>
      </c>
      <c r="Q21" s="165">
        <f t="shared" si="9"/>
        <v>69868.259999999995</v>
      </c>
      <c r="R21" s="29">
        <v>120000</v>
      </c>
      <c r="S21" s="166">
        <f t="shared" si="10"/>
        <v>259736.52</v>
      </c>
      <c r="T21" s="31">
        <f t="shared" si="11"/>
        <v>117172</v>
      </c>
      <c r="U21" s="165">
        <f t="shared" si="12"/>
        <v>1604141.98</v>
      </c>
    </row>
    <row r="22" spans="1:21">
      <c r="A22" s="257" t="s">
        <v>96</v>
      </c>
      <c r="B22" s="257"/>
      <c r="C22" s="257"/>
      <c r="D22" s="30">
        <v>1943000</v>
      </c>
      <c r="E22" s="53">
        <v>0</v>
      </c>
      <c r="F22" s="53">
        <v>5</v>
      </c>
      <c r="G22" s="53">
        <v>5</v>
      </c>
      <c r="H22" s="162">
        <f t="shared" si="0"/>
        <v>8095.833333333333</v>
      </c>
      <c r="I22" s="163">
        <f t="shared" si="1"/>
        <v>10119.791666666666</v>
      </c>
      <c r="J22" s="163">
        <f t="shared" si="2"/>
        <v>10929.375</v>
      </c>
      <c r="K22" s="163">
        <f t="shared" si="3"/>
        <v>14167.708333333332</v>
      </c>
      <c r="L22" s="164">
        <f t="shared" si="4"/>
        <v>0</v>
      </c>
      <c r="M22" s="164">
        <f t="shared" si="5"/>
        <v>54646.875</v>
      </c>
      <c r="N22" s="164">
        <f t="shared" si="6"/>
        <v>70838.541666666657</v>
      </c>
      <c r="O22" s="160">
        <f t="shared" si="7"/>
        <v>2068485.4166666667</v>
      </c>
      <c r="P22" s="165">
        <f t="shared" si="8"/>
        <v>82739.416666666672</v>
      </c>
      <c r="Q22" s="165">
        <f t="shared" si="9"/>
        <v>82739.416666666672</v>
      </c>
      <c r="R22" s="29">
        <v>50000</v>
      </c>
      <c r="S22" s="166">
        <f t="shared" si="10"/>
        <v>215478.83333333334</v>
      </c>
      <c r="T22" s="31">
        <f t="shared" si="11"/>
        <v>117172</v>
      </c>
      <c r="U22" s="165">
        <f t="shared" si="12"/>
        <v>1970178.5833333335</v>
      </c>
    </row>
    <row r="23" spans="1:21">
      <c r="A23" s="257" t="s">
        <v>97</v>
      </c>
      <c r="B23" s="257"/>
      <c r="C23" s="257"/>
      <c r="D23" s="30">
        <v>1570000</v>
      </c>
      <c r="E23" s="53">
        <v>5</v>
      </c>
      <c r="F23" s="53">
        <v>4</v>
      </c>
      <c r="G23" s="53">
        <v>3</v>
      </c>
      <c r="H23" s="162">
        <f t="shared" si="0"/>
        <v>6541.666666666667</v>
      </c>
      <c r="I23" s="163">
        <f t="shared" si="1"/>
        <v>8177.0833333333339</v>
      </c>
      <c r="J23" s="163">
        <f t="shared" si="2"/>
        <v>8831.2500000000018</v>
      </c>
      <c r="K23" s="163">
        <f t="shared" si="3"/>
        <v>11447.916666666668</v>
      </c>
      <c r="L23" s="164">
        <f t="shared" si="4"/>
        <v>40885.416666666672</v>
      </c>
      <c r="M23" s="164">
        <f t="shared" si="5"/>
        <v>35325.000000000007</v>
      </c>
      <c r="N23" s="164">
        <f t="shared" si="6"/>
        <v>34343.75</v>
      </c>
      <c r="O23" s="160">
        <f t="shared" si="7"/>
        <v>1680554.1666666667</v>
      </c>
      <c r="P23" s="165">
        <f t="shared" si="8"/>
        <v>67222.166666666672</v>
      </c>
      <c r="Q23" s="165">
        <f t="shared" si="9"/>
        <v>67222.166666666672</v>
      </c>
      <c r="R23" s="29">
        <v>50000</v>
      </c>
      <c r="S23" s="166">
        <f t="shared" si="10"/>
        <v>184444.33333333334</v>
      </c>
      <c r="T23" s="31">
        <f t="shared" si="11"/>
        <v>117172</v>
      </c>
      <c r="U23" s="165">
        <f t="shared" si="12"/>
        <v>1613281.8333333335</v>
      </c>
    </row>
    <row r="24" spans="1:21">
      <c r="A24" s="257" t="s">
        <v>98</v>
      </c>
      <c r="B24" s="257"/>
      <c r="C24" s="257"/>
      <c r="D24" s="30">
        <v>2416800</v>
      </c>
      <c r="E24" s="53">
        <v>3</v>
      </c>
      <c r="F24" s="53">
        <v>0</v>
      </c>
      <c r="G24" s="53">
        <v>6</v>
      </c>
      <c r="H24" s="162">
        <f t="shared" si="0"/>
        <v>10070</v>
      </c>
      <c r="I24" s="163">
        <f t="shared" si="1"/>
        <v>12587.5</v>
      </c>
      <c r="J24" s="163">
        <f t="shared" si="2"/>
        <v>13594.5</v>
      </c>
      <c r="K24" s="163">
        <f t="shared" si="3"/>
        <v>17622.5</v>
      </c>
      <c r="L24" s="164">
        <f t="shared" si="4"/>
        <v>37762.5</v>
      </c>
      <c r="M24" s="164">
        <f t="shared" si="5"/>
        <v>0</v>
      </c>
      <c r="N24" s="164">
        <f t="shared" si="6"/>
        <v>105735</v>
      </c>
      <c r="O24" s="160">
        <f t="shared" si="7"/>
        <v>2560297.5</v>
      </c>
      <c r="P24" s="165">
        <f t="shared" si="8"/>
        <v>102411.90000000001</v>
      </c>
      <c r="Q24" s="165">
        <f t="shared" si="9"/>
        <v>102411.90000000001</v>
      </c>
      <c r="R24" s="29"/>
      <c r="S24" s="166">
        <f t="shared" si="10"/>
        <v>204823.80000000002</v>
      </c>
      <c r="T24" s="31">
        <f t="shared" si="11"/>
        <v>0</v>
      </c>
      <c r="U24" s="165">
        <f t="shared" si="12"/>
        <v>2355473.7000000002</v>
      </c>
    </row>
    <row r="25" spans="1:21">
      <c r="A25" s="257" t="s">
        <v>99</v>
      </c>
      <c r="B25" s="257"/>
      <c r="C25" s="257"/>
      <c r="D25" s="30">
        <v>2248200</v>
      </c>
      <c r="E25" s="53">
        <v>0</v>
      </c>
      <c r="F25" s="53">
        <v>6</v>
      </c>
      <c r="G25" s="53">
        <v>8</v>
      </c>
      <c r="H25" s="162">
        <f t="shared" si="0"/>
        <v>9367.5</v>
      </c>
      <c r="I25" s="163">
        <f t="shared" si="1"/>
        <v>11709.375</v>
      </c>
      <c r="J25" s="163">
        <f t="shared" si="2"/>
        <v>12646.125</v>
      </c>
      <c r="K25" s="163">
        <f t="shared" si="3"/>
        <v>16393.125</v>
      </c>
      <c r="L25" s="164">
        <f t="shared" si="4"/>
        <v>0</v>
      </c>
      <c r="M25" s="164">
        <f t="shared" si="5"/>
        <v>75876.75</v>
      </c>
      <c r="N25" s="164">
        <f t="shared" si="6"/>
        <v>131145</v>
      </c>
      <c r="O25" s="160">
        <f t="shared" si="7"/>
        <v>2455221.75</v>
      </c>
      <c r="P25" s="165">
        <f t="shared" si="8"/>
        <v>98208.87</v>
      </c>
      <c r="Q25" s="165">
        <f t="shared" si="9"/>
        <v>98208.87</v>
      </c>
      <c r="R25" s="29">
        <v>50000</v>
      </c>
      <c r="S25" s="166">
        <f t="shared" si="10"/>
        <v>246417.74</v>
      </c>
      <c r="T25" s="31">
        <f t="shared" si="11"/>
        <v>0</v>
      </c>
      <c r="U25" s="165">
        <f t="shared" si="12"/>
        <v>2208804.0099999998</v>
      </c>
    </row>
    <row r="26" spans="1:21">
      <c r="A26" s="257" t="s">
        <v>100</v>
      </c>
      <c r="B26" s="257"/>
      <c r="C26" s="257"/>
      <c r="D26" s="30">
        <v>2106500</v>
      </c>
      <c r="E26" s="53">
        <v>3</v>
      </c>
      <c r="F26" s="53">
        <v>7</v>
      </c>
      <c r="G26" s="53">
        <v>7</v>
      </c>
      <c r="H26" s="162">
        <f t="shared" si="0"/>
        <v>8777.0833333333339</v>
      </c>
      <c r="I26" s="163">
        <f t="shared" si="1"/>
        <v>10971.354166666668</v>
      </c>
      <c r="J26" s="163">
        <f t="shared" si="2"/>
        <v>11849.062500000002</v>
      </c>
      <c r="K26" s="163">
        <f t="shared" si="3"/>
        <v>15359.895833333334</v>
      </c>
      <c r="L26" s="164">
        <f t="shared" si="4"/>
        <v>32914.0625</v>
      </c>
      <c r="M26" s="164">
        <f t="shared" si="5"/>
        <v>82943.437500000015</v>
      </c>
      <c r="N26" s="164">
        <f t="shared" si="6"/>
        <v>107519.27083333334</v>
      </c>
      <c r="O26" s="160">
        <f t="shared" si="7"/>
        <v>2329876.7708333335</v>
      </c>
      <c r="P26" s="165">
        <f t="shared" si="8"/>
        <v>93195.070833333346</v>
      </c>
      <c r="Q26" s="165">
        <f t="shared" si="9"/>
        <v>93195.070833333346</v>
      </c>
      <c r="R26" s="29">
        <v>130000</v>
      </c>
      <c r="S26" s="166">
        <f t="shared" si="10"/>
        <v>316390.14166666672</v>
      </c>
      <c r="T26" s="31">
        <f t="shared" si="11"/>
        <v>0</v>
      </c>
      <c r="U26" s="165">
        <f t="shared" si="12"/>
        <v>2013486.6291666669</v>
      </c>
    </row>
    <row r="27" spans="1:21">
      <c r="A27" s="257" t="s">
        <v>101</v>
      </c>
      <c r="B27" s="257"/>
      <c r="C27" s="257"/>
      <c r="D27" s="30">
        <v>1210000</v>
      </c>
      <c r="E27" s="53">
        <v>4</v>
      </c>
      <c r="F27" s="53">
        <v>1</v>
      </c>
      <c r="G27" s="53">
        <v>1</v>
      </c>
      <c r="H27" s="162">
        <f t="shared" si="0"/>
        <v>5041.666666666667</v>
      </c>
      <c r="I27" s="163">
        <f t="shared" si="1"/>
        <v>6302.0833333333339</v>
      </c>
      <c r="J27" s="163">
        <f t="shared" si="2"/>
        <v>6806.2500000000009</v>
      </c>
      <c r="K27" s="163">
        <f t="shared" si="3"/>
        <v>8822.9166666666679</v>
      </c>
      <c r="L27" s="164">
        <f t="shared" si="4"/>
        <v>25208.333333333336</v>
      </c>
      <c r="M27" s="164">
        <f t="shared" si="5"/>
        <v>6806.2500000000009</v>
      </c>
      <c r="N27" s="164">
        <f t="shared" si="6"/>
        <v>8822.9166666666679</v>
      </c>
      <c r="O27" s="160">
        <f t="shared" si="7"/>
        <v>1250837.5</v>
      </c>
      <c r="P27" s="165">
        <f t="shared" si="8"/>
        <v>50033.5</v>
      </c>
      <c r="Q27" s="165">
        <f t="shared" si="9"/>
        <v>50033.5</v>
      </c>
      <c r="R27" s="29">
        <v>50000</v>
      </c>
      <c r="S27" s="166">
        <f t="shared" si="10"/>
        <v>150067</v>
      </c>
      <c r="T27" s="31">
        <f t="shared" si="11"/>
        <v>117172</v>
      </c>
      <c r="U27" s="165">
        <f t="shared" si="12"/>
        <v>1217942.5</v>
      </c>
    </row>
    <row r="28" spans="1:21">
      <c r="A28" s="257" t="s">
        <v>102</v>
      </c>
      <c r="B28" s="257"/>
      <c r="C28" s="257"/>
      <c r="D28" s="30">
        <v>2050400</v>
      </c>
      <c r="E28" s="53">
        <v>9</v>
      </c>
      <c r="F28" s="53">
        <v>5</v>
      </c>
      <c r="G28" s="53">
        <v>5</v>
      </c>
      <c r="H28" s="162">
        <f t="shared" si="0"/>
        <v>8543.3333333333339</v>
      </c>
      <c r="I28" s="163">
        <f t="shared" si="1"/>
        <v>10679.166666666668</v>
      </c>
      <c r="J28" s="163">
        <f t="shared" si="2"/>
        <v>11533.500000000002</v>
      </c>
      <c r="K28" s="163">
        <f t="shared" si="3"/>
        <v>14950.833333333334</v>
      </c>
      <c r="L28" s="164">
        <f t="shared" si="4"/>
        <v>96112.500000000015</v>
      </c>
      <c r="M28" s="164">
        <f t="shared" si="5"/>
        <v>57667.500000000007</v>
      </c>
      <c r="N28" s="164">
        <f t="shared" si="6"/>
        <v>74754.166666666672</v>
      </c>
      <c r="O28" s="160">
        <f t="shared" si="7"/>
        <v>2278934.1666666665</v>
      </c>
      <c r="P28" s="165">
        <f t="shared" si="8"/>
        <v>91157.366666666669</v>
      </c>
      <c r="Q28" s="165">
        <f t="shared" si="9"/>
        <v>91157.366666666669</v>
      </c>
      <c r="R28" s="29"/>
      <c r="S28" s="166">
        <f t="shared" si="10"/>
        <v>182314.73333333334</v>
      </c>
      <c r="T28" s="31">
        <f t="shared" si="11"/>
        <v>0</v>
      </c>
      <c r="U28" s="165">
        <f t="shared" si="12"/>
        <v>2096619.4333333331</v>
      </c>
    </row>
    <row r="29" spans="1:21">
      <c r="A29" s="257" t="s">
        <v>103</v>
      </c>
      <c r="B29" s="257"/>
      <c r="C29" s="257"/>
      <c r="D29" s="30">
        <v>1300000</v>
      </c>
      <c r="E29" s="53">
        <v>0</v>
      </c>
      <c r="F29" s="53">
        <v>9</v>
      </c>
      <c r="G29" s="53">
        <v>1</v>
      </c>
      <c r="H29" s="162">
        <f t="shared" si="0"/>
        <v>5416.666666666667</v>
      </c>
      <c r="I29" s="163">
        <f t="shared" si="1"/>
        <v>6770.8333333333339</v>
      </c>
      <c r="J29" s="163">
        <f t="shared" si="2"/>
        <v>7312.5000000000009</v>
      </c>
      <c r="K29" s="163">
        <f t="shared" si="3"/>
        <v>9479.1666666666679</v>
      </c>
      <c r="L29" s="164">
        <f t="shared" si="4"/>
        <v>0</v>
      </c>
      <c r="M29" s="164">
        <f t="shared" si="5"/>
        <v>65812.500000000015</v>
      </c>
      <c r="N29" s="164">
        <f t="shared" si="6"/>
        <v>9479.1666666666679</v>
      </c>
      <c r="O29" s="160">
        <f t="shared" si="7"/>
        <v>1375291.6666666667</v>
      </c>
      <c r="P29" s="165">
        <f t="shared" si="8"/>
        <v>55011.666666666672</v>
      </c>
      <c r="Q29" s="165">
        <f t="shared" si="9"/>
        <v>55011.666666666672</v>
      </c>
      <c r="R29" s="29">
        <v>50000</v>
      </c>
      <c r="S29" s="166">
        <f t="shared" si="10"/>
        <v>160023.33333333334</v>
      </c>
      <c r="T29" s="31">
        <f t="shared" si="11"/>
        <v>117172</v>
      </c>
      <c r="U29" s="165">
        <f t="shared" si="12"/>
        <v>1332440.3333333335</v>
      </c>
    </row>
    <row r="30" spans="1:21">
      <c r="A30" s="257" t="s">
        <v>104</v>
      </c>
      <c r="B30" s="257"/>
      <c r="C30" s="257"/>
      <c r="D30" s="30">
        <v>2550700</v>
      </c>
      <c r="E30" s="53">
        <v>7</v>
      </c>
      <c r="F30" s="53">
        <v>1</v>
      </c>
      <c r="G30" s="53">
        <v>2</v>
      </c>
      <c r="H30" s="162">
        <f t="shared" si="0"/>
        <v>10627.916666666666</v>
      </c>
      <c r="I30" s="163">
        <f t="shared" si="1"/>
        <v>13284.895833333332</v>
      </c>
      <c r="J30" s="163">
        <f t="shared" si="2"/>
        <v>14347.6875</v>
      </c>
      <c r="K30" s="163">
        <f t="shared" si="3"/>
        <v>18598.854166666664</v>
      </c>
      <c r="L30" s="164">
        <f t="shared" si="4"/>
        <v>92994.270833333328</v>
      </c>
      <c r="M30" s="164">
        <f t="shared" si="5"/>
        <v>14347.6875</v>
      </c>
      <c r="N30" s="164">
        <f t="shared" si="6"/>
        <v>37197.708333333328</v>
      </c>
      <c r="O30" s="160">
        <f t="shared" si="7"/>
        <v>2695239.666666667</v>
      </c>
      <c r="P30" s="165">
        <f t="shared" si="8"/>
        <v>107809.58666666668</v>
      </c>
      <c r="Q30" s="165">
        <f t="shared" si="9"/>
        <v>107809.58666666668</v>
      </c>
      <c r="R30" s="29">
        <v>50000</v>
      </c>
      <c r="S30" s="166">
        <f t="shared" si="10"/>
        <v>265619.17333333334</v>
      </c>
      <c r="T30" s="31">
        <f t="shared" si="11"/>
        <v>0</v>
      </c>
      <c r="U30" s="165">
        <f t="shared" si="12"/>
        <v>2429620.4933333336</v>
      </c>
    </row>
    <row r="31" spans="1:21">
      <c r="A31" s="257" t="s">
        <v>105</v>
      </c>
      <c r="B31" s="257"/>
      <c r="C31" s="257"/>
      <c r="D31" s="30">
        <v>2951000</v>
      </c>
      <c r="E31" s="53">
        <v>0</v>
      </c>
      <c r="F31" s="53">
        <v>7</v>
      </c>
      <c r="G31" s="53">
        <v>0</v>
      </c>
      <c r="H31" s="162">
        <f t="shared" si="0"/>
        <v>12295.833333333334</v>
      </c>
      <c r="I31" s="163">
        <f t="shared" si="1"/>
        <v>15369.791666666668</v>
      </c>
      <c r="J31" s="163">
        <f t="shared" si="2"/>
        <v>16599.375000000004</v>
      </c>
      <c r="K31" s="163">
        <f t="shared" si="3"/>
        <v>21517.708333333336</v>
      </c>
      <c r="L31" s="164">
        <f t="shared" si="4"/>
        <v>0</v>
      </c>
      <c r="M31" s="164">
        <f t="shared" si="5"/>
        <v>116195.62500000003</v>
      </c>
      <c r="N31" s="164">
        <f t="shared" si="6"/>
        <v>0</v>
      </c>
      <c r="O31" s="160">
        <f t="shared" si="7"/>
        <v>3067195.625</v>
      </c>
      <c r="P31" s="165">
        <f t="shared" si="8"/>
        <v>122687.825</v>
      </c>
      <c r="Q31" s="165">
        <f t="shared" si="9"/>
        <v>122687.825</v>
      </c>
      <c r="R31" s="29">
        <v>50000</v>
      </c>
      <c r="S31" s="166">
        <f t="shared" si="10"/>
        <v>295375.65000000002</v>
      </c>
      <c r="T31" s="31">
        <f t="shared" si="11"/>
        <v>0</v>
      </c>
      <c r="U31" s="165">
        <f t="shared" si="12"/>
        <v>2771819.9750000001</v>
      </c>
    </row>
    <row r="32" spans="1:21">
      <c r="A32" s="257" t="s">
        <v>106</v>
      </c>
      <c r="B32" s="257"/>
      <c r="C32" s="257"/>
      <c r="D32" s="30">
        <v>1197803</v>
      </c>
      <c r="E32" s="53">
        <v>5</v>
      </c>
      <c r="F32" s="53">
        <v>8</v>
      </c>
      <c r="G32" s="53">
        <v>1</v>
      </c>
      <c r="H32" s="162">
        <f t="shared" si="0"/>
        <v>4990.8458333333338</v>
      </c>
      <c r="I32" s="163">
        <f t="shared" si="1"/>
        <v>6238.557291666667</v>
      </c>
      <c r="J32" s="163">
        <f t="shared" si="2"/>
        <v>6737.6418750000012</v>
      </c>
      <c r="K32" s="163">
        <f t="shared" si="3"/>
        <v>8733.9802083333343</v>
      </c>
      <c r="L32" s="164">
        <f t="shared" si="4"/>
        <v>31192.786458333336</v>
      </c>
      <c r="M32" s="164">
        <f t="shared" si="5"/>
        <v>53901.135000000009</v>
      </c>
      <c r="N32" s="164">
        <f t="shared" si="6"/>
        <v>8733.9802083333343</v>
      </c>
      <c r="O32" s="160">
        <f t="shared" si="7"/>
        <v>1291630.9016666666</v>
      </c>
      <c r="P32" s="165">
        <f t="shared" si="8"/>
        <v>51665.236066666665</v>
      </c>
      <c r="Q32" s="165">
        <f t="shared" si="9"/>
        <v>51665.236066666665</v>
      </c>
      <c r="R32" s="29"/>
      <c r="S32" s="166">
        <f t="shared" si="10"/>
        <v>103330.47213333333</v>
      </c>
      <c r="T32" s="31">
        <f t="shared" si="11"/>
        <v>117172</v>
      </c>
      <c r="U32" s="165">
        <f t="shared" si="12"/>
        <v>1305472.4295333333</v>
      </c>
    </row>
    <row r="33" spans="1:21">
      <c r="A33" s="257" t="s">
        <v>107</v>
      </c>
      <c r="B33" s="257"/>
      <c r="C33" s="257"/>
      <c r="D33" s="30">
        <v>1916600</v>
      </c>
      <c r="E33" s="53">
        <v>3</v>
      </c>
      <c r="F33" s="53">
        <v>4</v>
      </c>
      <c r="G33" s="53">
        <v>8</v>
      </c>
      <c r="H33" s="162">
        <f t="shared" si="0"/>
        <v>7985.833333333333</v>
      </c>
      <c r="I33" s="163">
        <f t="shared" si="1"/>
        <v>9982.2916666666661</v>
      </c>
      <c r="J33" s="163">
        <f t="shared" si="2"/>
        <v>10780.875</v>
      </c>
      <c r="K33" s="163">
        <f t="shared" si="3"/>
        <v>13975.208333333332</v>
      </c>
      <c r="L33" s="164">
        <f t="shared" si="4"/>
        <v>29946.875</v>
      </c>
      <c r="M33" s="164">
        <f t="shared" si="5"/>
        <v>43123.5</v>
      </c>
      <c r="N33" s="164">
        <f t="shared" si="6"/>
        <v>111801.66666666666</v>
      </c>
      <c r="O33" s="160">
        <f t="shared" si="7"/>
        <v>2101472.0416666665</v>
      </c>
      <c r="P33" s="165">
        <f t="shared" si="8"/>
        <v>84058.881666666668</v>
      </c>
      <c r="Q33" s="165">
        <f t="shared" si="9"/>
        <v>84058.881666666668</v>
      </c>
      <c r="R33" s="29">
        <v>100000</v>
      </c>
      <c r="S33" s="166">
        <f t="shared" si="10"/>
        <v>268117.76333333331</v>
      </c>
      <c r="T33" s="31">
        <f t="shared" si="11"/>
        <v>117172</v>
      </c>
      <c r="U33" s="165">
        <f t="shared" si="12"/>
        <v>1950526.2783333333</v>
      </c>
    </row>
    <row r="34" spans="1:21">
      <c r="A34" s="257" t="s">
        <v>108</v>
      </c>
      <c r="B34" s="257"/>
      <c r="C34" s="257"/>
      <c r="D34" s="30">
        <v>1302800</v>
      </c>
      <c r="E34" s="53">
        <v>0</v>
      </c>
      <c r="F34" s="53">
        <v>8</v>
      </c>
      <c r="G34" s="53">
        <v>9</v>
      </c>
      <c r="H34" s="162">
        <f t="shared" si="0"/>
        <v>5428.333333333333</v>
      </c>
      <c r="I34" s="163">
        <f t="shared" si="1"/>
        <v>6785.4166666666661</v>
      </c>
      <c r="J34" s="163">
        <f t="shared" si="2"/>
        <v>7328.25</v>
      </c>
      <c r="K34" s="163">
        <f t="shared" si="3"/>
        <v>9499.5833333333321</v>
      </c>
      <c r="L34" s="164">
        <f t="shared" si="4"/>
        <v>0</v>
      </c>
      <c r="M34" s="164">
        <f t="shared" si="5"/>
        <v>58626</v>
      </c>
      <c r="N34" s="164">
        <f t="shared" si="6"/>
        <v>85496.249999999985</v>
      </c>
      <c r="O34" s="160">
        <f t="shared" si="7"/>
        <v>1446922.25</v>
      </c>
      <c r="P34" s="165">
        <f t="shared" si="8"/>
        <v>57876.89</v>
      </c>
      <c r="Q34" s="165">
        <f t="shared" si="9"/>
        <v>57876.89</v>
      </c>
      <c r="R34" s="29">
        <v>50000</v>
      </c>
      <c r="S34" s="166">
        <f t="shared" si="10"/>
        <v>165753.78</v>
      </c>
      <c r="T34" s="31">
        <f t="shared" si="11"/>
        <v>117172</v>
      </c>
      <c r="U34" s="165">
        <f t="shared" si="12"/>
        <v>1398340.47</v>
      </c>
    </row>
    <row r="35" spans="1:21">
      <c r="A35" s="257" t="s">
        <v>109</v>
      </c>
      <c r="B35" s="257"/>
      <c r="C35" s="257"/>
      <c r="D35" s="30">
        <v>2410700</v>
      </c>
      <c r="E35" s="53">
        <v>5</v>
      </c>
      <c r="F35" s="53">
        <v>9</v>
      </c>
      <c r="G35" s="53">
        <v>5</v>
      </c>
      <c r="H35" s="162">
        <f t="shared" si="0"/>
        <v>10044.583333333334</v>
      </c>
      <c r="I35" s="163">
        <f t="shared" si="1"/>
        <v>12555.729166666668</v>
      </c>
      <c r="J35" s="163">
        <f t="shared" si="2"/>
        <v>13560.187500000002</v>
      </c>
      <c r="K35" s="163">
        <f t="shared" si="3"/>
        <v>17578.020833333336</v>
      </c>
      <c r="L35" s="164">
        <f t="shared" si="4"/>
        <v>62778.645833333343</v>
      </c>
      <c r="M35" s="164">
        <f t="shared" si="5"/>
        <v>122041.68750000001</v>
      </c>
      <c r="N35" s="164">
        <f t="shared" si="6"/>
        <v>87890.104166666686</v>
      </c>
      <c r="O35" s="160">
        <f t="shared" si="7"/>
        <v>2683410.4375</v>
      </c>
      <c r="P35" s="165">
        <f t="shared" si="8"/>
        <v>107336.4175</v>
      </c>
      <c r="Q35" s="165">
        <f t="shared" si="9"/>
        <v>107336.4175</v>
      </c>
      <c r="R35" s="29">
        <v>50000</v>
      </c>
      <c r="S35" s="166">
        <f t="shared" si="10"/>
        <v>264672.83499999996</v>
      </c>
      <c r="T35" s="31">
        <f t="shared" si="11"/>
        <v>0</v>
      </c>
      <c r="U35" s="165">
        <f t="shared" si="12"/>
        <v>2418737.6025</v>
      </c>
    </row>
    <row r="36" spans="1:21">
      <c r="A36" s="257" t="s">
        <v>110</v>
      </c>
      <c r="B36" s="257"/>
      <c r="C36" s="257"/>
      <c r="D36" s="30">
        <v>1197803</v>
      </c>
      <c r="E36" s="53">
        <v>2</v>
      </c>
      <c r="F36" s="53">
        <v>6</v>
      </c>
      <c r="G36" s="53">
        <v>8</v>
      </c>
      <c r="H36" s="162">
        <f t="shared" si="0"/>
        <v>4990.8458333333338</v>
      </c>
      <c r="I36" s="163">
        <f t="shared" si="1"/>
        <v>6238.557291666667</v>
      </c>
      <c r="J36" s="163">
        <f t="shared" si="2"/>
        <v>6737.6418750000012</v>
      </c>
      <c r="K36" s="163">
        <f t="shared" si="3"/>
        <v>8733.9802083333343</v>
      </c>
      <c r="L36" s="164">
        <f t="shared" si="4"/>
        <v>12477.114583333334</v>
      </c>
      <c r="M36" s="164">
        <f t="shared" si="5"/>
        <v>40425.851250000007</v>
      </c>
      <c r="N36" s="164">
        <f t="shared" si="6"/>
        <v>69871.841666666674</v>
      </c>
      <c r="O36" s="160">
        <f t="shared" si="7"/>
        <v>1320577.8075000001</v>
      </c>
      <c r="P36" s="165">
        <f t="shared" si="8"/>
        <v>52823.112300000008</v>
      </c>
      <c r="Q36" s="165">
        <f t="shared" si="9"/>
        <v>52823.112300000008</v>
      </c>
      <c r="R36" s="29"/>
      <c r="S36" s="166">
        <f t="shared" si="10"/>
        <v>105646.22460000002</v>
      </c>
      <c r="T36" s="31">
        <f t="shared" si="11"/>
        <v>117172</v>
      </c>
      <c r="U36" s="165">
        <f t="shared" si="12"/>
        <v>1332103.5829</v>
      </c>
    </row>
    <row r="37" spans="1:21">
      <c r="A37" s="257" t="s">
        <v>111</v>
      </c>
      <c r="B37" s="257"/>
      <c r="C37" s="257"/>
      <c r="D37" s="30">
        <v>2091600</v>
      </c>
      <c r="E37" s="53">
        <v>8</v>
      </c>
      <c r="F37" s="53">
        <v>6</v>
      </c>
      <c r="G37" s="53">
        <v>2</v>
      </c>
      <c r="H37" s="162">
        <f t="shared" si="0"/>
        <v>8715</v>
      </c>
      <c r="I37" s="163">
        <f t="shared" si="1"/>
        <v>10893.75</v>
      </c>
      <c r="J37" s="163">
        <f t="shared" si="2"/>
        <v>11765.25</v>
      </c>
      <c r="K37" s="163">
        <f t="shared" si="3"/>
        <v>15251.25</v>
      </c>
      <c r="L37" s="164">
        <f t="shared" si="4"/>
        <v>87150</v>
      </c>
      <c r="M37" s="164">
        <f t="shared" si="5"/>
        <v>70591.5</v>
      </c>
      <c r="N37" s="164">
        <f t="shared" si="6"/>
        <v>30502.5</v>
      </c>
      <c r="O37" s="160">
        <f t="shared" si="7"/>
        <v>2279844</v>
      </c>
      <c r="P37" s="165">
        <f t="shared" si="8"/>
        <v>91193.76</v>
      </c>
      <c r="Q37" s="165">
        <f t="shared" si="9"/>
        <v>91193.76</v>
      </c>
      <c r="R37" s="29">
        <v>50000</v>
      </c>
      <c r="S37" s="166">
        <f t="shared" si="10"/>
        <v>232387.52</v>
      </c>
      <c r="T37" s="31">
        <f t="shared" si="11"/>
        <v>0</v>
      </c>
      <c r="U37" s="165">
        <f t="shared" si="12"/>
        <v>2047456.48</v>
      </c>
    </row>
    <row r="38" spans="1:21">
      <c r="A38" s="257" t="s">
        <v>112</v>
      </c>
      <c r="B38" s="257"/>
      <c r="C38" s="257"/>
      <c r="D38" s="30">
        <v>2431600</v>
      </c>
      <c r="E38" s="53">
        <v>1</v>
      </c>
      <c r="F38" s="53">
        <v>2</v>
      </c>
      <c r="G38" s="53">
        <v>2</v>
      </c>
      <c r="H38" s="162">
        <f t="shared" si="0"/>
        <v>10131.666666666666</v>
      </c>
      <c r="I38" s="163">
        <f t="shared" si="1"/>
        <v>12664.583333333332</v>
      </c>
      <c r="J38" s="163">
        <f t="shared" si="2"/>
        <v>13677.75</v>
      </c>
      <c r="K38" s="163">
        <f t="shared" si="3"/>
        <v>17730.416666666664</v>
      </c>
      <c r="L38" s="164">
        <f t="shared" si="4"/>
        <v>12664.583333333332</v>
      </c>
      <c r="M38" s="164">
        <f t="shared" si="5"/>
        <v>27355.5</v>
      </c>
      <c r="N38" s="164">
        <f t="shared" si="6"/>
        <v>35460.833333333328</v>
      </c>
      <c r="O38" s="160">
        <f t="shared" si="7"/>
        <v>2507080.916666667</v>
      </c>
      <c r="P38" s="165">
        <f t="shared" si="8"/>
        <v>100283.23666666668</v>
      </c>
      <c r="Q38" s="165">
        <f t="shared" si="9"/>
        <v>100283.23666666668</v>
      </c>
      <c r="R38" s="29">
        <v>160000</v>
      </c>
      <c r="S38" s="166">
        <f t="shared" si="10"/>
        <v>360566.47333333339</v>
      </c>
      <c r="T38" s="31">
        <f t="shared" si="11"/>
        <v>0</v>
      </c>
      <c r="U38" s="165">
        <f t="shared" si="12"/>
        <v>2146514.4433333334</v>
      </c>
    </row>
    <row r="39" spans="1:21">
      <c r="A39" s="257" t="s">
        <v>113</v>
      </c>
      <c r="B39" s="257"/>
      <c r="C39" s="257"/>
      <c r="D39" s="30">
        <v>1300000</v>
      </c>
      <c r="E39" s="53">
        <v>1</v>
      </c>
      <c r="F39" s="53">
        <v>5</v>
      </c>
      <c r="G39" s="53">
        <v>1</v>
      </c>
      <c r="H39" s="162">
        <f t="shared" si="0"/>
        <v>5416.666666666667</v>
      </c>
      <c r="I39" s="163">
        <f t="shared" si="1"/>
        <v>6770.8333333333339</v>
      </c>
      <c r="J39" s="163">
        <f t="shared" si="2"/>
        <v>7312.5000000000009</v>
      </c>
      <c r="K39" s="163">
        <f t="shared" si="3"/>
        <v>9479.1666666666679</v>
      </c>
      <c r="L39" s="164">
        <f t="shared" si="4"/>
        <v>6770.8333333333339</v>
      </c>
      <c r="M39" s="164">
        <f t="shared" si="5"/>
        <v>36562.500000000007</v>
      </c>
      <c r="N39" s="164">
        <f t="shared" si="6"/>
        <v>9479.1666666666679</v>
      </c>
      <c r="O39" s="160">
        <f t="shared" si="7"/>
        <v>1352812.5</v>
      </c>
      <c r="P39" s="165">
        <f t="shared" si="8"/>
        <v>54112.5</v>
      </c>
      <c r="Q39" s="165">
        <f t="shared" si="9"/>
        <v>54112.5</v>
      </c>
      <c r="R39" s="29">
        <v>50000</v>
      </c>
      <c r="S39" s="166">
        <f t="shared" si="10"/>
        <v>158225</v>
      </c>
      <c r="T39" s="31">
        <f t="shared" si="11"/>
        <v>117172</v>
      </c>
      <c r="U39" s="165">
        <f t="shared" si="12"/>
        <v>1311759.5</v>
      </c>
    </row>
    <row r="42" spans="1:21" ht="21">
      <c r="A42" s="272" t="s">
        <v>307</v>
      </c>
      <c r="B42" s="272"/>
      <c r="C42" s="272"/>
      <c r="D42" s="272"/>
      <c r="E42" s="272"/>
      <c r="F42" s="272"/>
      <c r="G42" s="272"/>
      <c r="H42" s="272"/>
      <c r="I42" s="272"/>
      <c r="J42" s="272"/>
      <c r="K42" s="272"/>
      <c r="L42" s="272"/>
      <c r="M42" s="272"/>
    </row>
    <row r="43" spans="1:21" ht="21">
      <c r="A43" s="271" t="s">
        <v>308</v>
      </c>
      <c r="B43" s="271"/>
      <c r="C43" s="271"/>
      <c r="D43" s="271"/>
      <c r="E43" s="271"/>
      <c r="F43" s="271"/>
      <c r="G43" s="271"/>
      <c r="H43" s="271"/>
      <c r="I43" s="271"/>
      <c r="J43" s="271"/>
      <c r="K43" s="271"/>
      <c r="L43" s="271"/>
      <c r="M43" s="271"/>
    </row>
    <row r="44" spans="1:21" ht="21">
      <c r="A44" s="271" t="s">
        <v>309</v>
      </c>
      <c r="B44" s="271"/>
      <c r="C44" s="271"/>
      <c r="D44" s="271"/>
      <c r="E44" s="271"/>
      <c r="F44" s="271"/>
      <c r="G44" s="271"/>
      <c r="H44" s="271"/>
      <c r="I44" s="271"/>
      <c r="J44" s="271"/>
      <c r="K44" s="271"/>
      <c r="L44" s="271"/>
      <c r="M44" s="271"/>
    </row>
    <row r="45" spans="1:21" ht="21">
      <c r="A45" s="271" t="s">
        <v>310</v>
      </c>
      <c r="B45" s="271"/>
      <c r="C45" s="271"/>
      <c r="D45" s="271"/>
      <c r="E45" s="271"/>
      <c r="F45" s="271"/>
      <c r="G45" s="271"/>
      <c r="H45" s="271"/>
      <c r="I45" s="271"/>
      <c r="J45" s="271"/>
      <c r="K45" s="271"/>
      <c r="L45" s="271"/>
      <c r="M45" s="271"/>
    </row>
    <row r="46" spans="1:21" ht="21">
      <c r="A46" s="271" t="s">
        <v>311</v>
      </c>
      <c r="B46" s="271"/>
      <c r="C46" s="271"/>
      <c r="D46" s="271"/>
      <c r="E46" s="271"/>
      <c r="F46" s="271"/>
      <c r="G46" s="271"/>
      <c r="H46" s="271"/>
      <c r="I46" s="271"/>
      <c r="J46" s="271"/>
      <c r="K46" s="271"/>
      <c r="L46" s="271"/>
      <c r="M46" s="271"/>
    </row>
    <row r="47" spans="1:21" ht="21">
      <c r="A47" s="271" t="s">
        <v>314</v>
      </c>
      <c r="B47" s="271"/>
      <c r="C47" s="271"/>
      <c r="D47" s="271"/>
      <c r="E47" s="271"/>
      <c r="F47" s="271"/>
      <c r="G47" s="271"/>
      <c r="H47" s="271"/>
      <c r="I47" s="271"/>
      <c r="J47" s="271"/>
      <c r="K47" s="271"/>
      <c r="L47" s="271"/>
      <c r="M47" s="271"/>
    </row>
    <row r="48" spans="1:21" ht="21">
      <c r="A48" s="271" t="s">
        <v>312</v>
      </c>
      <c r="B48" s="271"/>
      <c r="C48" s="271"/>
      <c r="D48" s="271"/>
      <c r="E48" s="271"/>
      <c r="F48" s="271"/>
      <c r="G48" s="271"/>
      <c r="H48" s="271"/>
      <c r="I48" s="271"/>
      <c r="J48" s="271"/>
      <c r="K48" s="271"/>
      <c r="L48" s="271"/>
      <c r="M48" s="271"/>
    </row>
    <row r="49" spans="1:13" ht="21">
      <c r="A49" s="271" t="s">
        <v>315</v>
      </c>
      <c r="B49" s="271"/>
      <c r="C49" s="271"/>
      <c r="D49" s="271"/>
      <c r="E49" s="271"/>
      <c r="F49" s="271"/>
      <c r="G49" s="271"/>
      <c r="H49" s="271"/>
      <c r="I49" s="271"/>
      <c r="J49" s="271"/>
      <c r="K49" s="271"/>
      <c r="L49" s="271"/>
      <c r="M49" s="271"/>
    </row>
  </sheetData>
  <mergeCells count="65">
    <mergeCell ref="A47:M47"/>
    <mergeCell ref="A48:M48"/>
    <mergeCell ref="A49:M49"/>
    <mergeCell ref="A42:M42"/>
    <mergeCell ref="A43:M43"/>
    <mergeCell ref="A44:M44"/>
    <mergeCell ref="A45:M45"/>
    <mergeCell ref="A46:M46"/>
    <mergeCell ref="U8:U9"/>
    <mergeCell ref="A8:D8"/>
    <mergeCell ref="E8:G8"/>
    <mergeCell ref="H8:K8"/>
    <mergeCell ref="P8:R8"/>
    <mergeCell ref="O8:O9"/>
    <mergeCell ref="A9:C9"/>
    <mergeCell ref="T8:T9"/>
    <mergeCell ref="L8:N8"/>
    <mergeCell ref="A11:C11"/>
    <mergeCell ref="A12:C12"/>
    <mergeCell ref="A13:C13"/>
    <mergeCell ref="A14:C14"/>
    <mergeCell ref="S8:S9"/>
    <mergeCell ref="A36:C36"/>
    <mergeCell ref="A37:C37"/>
    <mergeCell ref="A38:C38"/>
    <mergeCell ref="A39:C39"/>
    <mergeCell ref="A28:C28"/>
    <mergeCell ref="A29:C29"/>
    <mergeCell ref="A34:C34"/>
    <mergeCell ref="A35:C35"/>
    <mergeCell ref="A32:C32"/>
    <mergeCell ref="A33:C33"/>
    <mergeCell ref="A30:C30"/>
    <mergeCell ref="A31:C31"/>
    <mergeCell ref="A18:C18"/>
    <mergeCell ref="A24:C24"/>
    <mergeCell ref="A25:C25"/>
    <mergeCell ref="A26:C26"/>
    <mergeCell ref="A27:C27"/>
    <mergeCell ref="A19:C19"/>
    <mergeCell ref="A20:C20"/>
    <mergeCell ref="A21:C21"/>
    <mergeCell ref="A22:C22"/>
    <mergeCell ref="A23:C23"/>
    <mergeCell ref="A15:C15"/>
    <mergeCell ref="A16:C16"/>
    <mergeCell ref="A17:C17"/>
    <mergeCell ref="A1:U1"/>
    <mergeCell ref="H5:I5"/>
    <mergeCell ref="J6:K6"/>
    <mergeCell ref="O6:P6"/>
    <mergeCell ref="Q4:R4"/>
    <mergeCell ref="Q5:R5"/>
    <mergeCell ref="Q6:R6"/>
    <mergeCell ref="A4:C4"/>
    <mergeCell ref="A2:B2"/>
    <mergeCell ref="H3:I3"/>
    <mergeCell ref="O4:P4"/>
    <mergeCell ref="O5:P5"/>
    <mergeCell ref="A10:C10"/>
    <mergeCell ref="H6:I6"/>
    <mergeCell ref="H4:I4"/>
    <mergeCell ref="J3:K3"/>
    <mergeCell ref="J4:K4"/>
    <mergeCell ref="J5:K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Objetivos</vt:lpstr>
      <vt:lpstr>Natillera</vt:lpstr>
      <vt:lpstr>Empleados</vt:lpstr>
      <vt:lpstr>Conversiones</vt:lpstr>
      <vt:lpstr>Alumnos</vt:lpstr>
      <vt:lpstr>Fotografias</vt:lpstr>
      <vt:lpstr>Universidad</vt:lpstr>
      <vt:lpstr>Vehiculos</vt:lpstr>
      <vt:lpstr>Nomina</vt:lpstr>
      <vt:lpstr>Seguros</vt:lpstr>
      <vt:lpstr>RUBRICA DE CALIFICACION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DXM</dc:creator>
  <cp:lastModifiedBy>Estudiante</cp:lastModifiedBy>
  <dcterms:created xsi:type="dcterms:W3CDTF">2014-03-12T02:48:00Z</dcterms:created>
  <dcterms:modified xsi:type="dcterms:W3CDTF">2024-02-26T20:41:35Z</dcterms:modified>
</cp:coreProperties>
</file>