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Estudiante.PT-226\Desktop\SEBB\"/>
    </mc:Choice>
  </mc:AlternateContent>
  <bookViews>
    <workbookView xWindow="-120" yWindow="-120" windowWidth="20730" windowHeight="11760" activeTab="3"/>
  </bookViews>
  <sheets>
    <sheet name="Objetivos" sheetId="6" r:id="rId1"/>
    <sheet name="empresa" sheetId="2" r:id="rId2"/>
    <sheet name="estadisticas" sheetId="3" r:id="rId3"/>
    <sheet name="alumnos" sheetId="4" r:id="rId4"/>
    <sheet name="nutricionista" sheetId="5" r:id="rId5"/>
    <sheet name="RUBRICA DE CALIFICACIÓN" sheetId="7" r:id="rId6"/>
  </sheets>
  <definedNames>
    <definedName name="_xlnm._FilterDatabase" localSheetId="1" hidden="1">empresa!$A$6:$N$37</definedName>
    <definedName name="_xlnm._FilterDatabase" localSheetId="2" hidden="1">estadisticas!$A$5:$B$5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5" l="1"/>
  <c r="F3" i="5"/>
  <c r="F4" i="5"/>
  <c r="F5" i="5"/>
  <c r="F6" i="5"/>
  <c r="F7" i="5"/>
  <c r="F8" i="5"/>
  <c r="F9" i="5"/>
  <c r="E3" i="5"/>
  <c r="E4" i="5"/>
  <c r="E5" i="5"/>
  <c r="E6" i="5"/>
  <c r="E7" i="5"/>
  <c r="E8" i="5"/>
  <c r="E9" i="5"/>
  <c r="E2" i="5"/>
  <c r="F7" i="4"/>
  <c r="D10" i="5" l="1"/>
  <c r="E10" i="5" s="1"/>
  <c r="F10" i="5" s="1"/>
  <c r="D3" i="5"/>
  <c r="D4" i="5"/>
  <c r="D5" i="5"/>
  <c r="D6" i="5"/>
  <c r="D7" i="5"/>
  <c r="D8" i="5"/>
  <c r="D9" i="5"/>
  <c r="D2" i="5"/>
  <c r="F46" i="4"/>
  <c r="F47" i="4"/>
  <c r="B46" i="2"/>
  <c r="C46" i="4"/>
  <c r="C48" i="4"/>
  <c r="C47" i="4"/>
  <c r="I42" i="4"/>
  <c r="L17" i="4" l="1"/>
  <c r="K1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7" i="4"/>
  <c r="L9" i="4" l="1"/>
  <c r="L12" i="4" l="1"/>
  <c r="L8" i="4"/>
  <c r="L7" i="4"/>
  <c r="E8" i="4"/>
  <c r="F8" i="4" s="1"/>
  <c r="E9" i="4"/>
  <c r="F9" i="4" s="1"/>
  <c r="E10" i="4"/>
  <c r="F10" i="4" s="1"/>
  <c r="E11" i="4"/>
  <c r="F11" i="4" s="1"/>
  <c r="E12" i="4"/>
  <c r="F12" i="4" s="1"/>
  <c r="E13" i="4"/>
  <c r="F13" i="4" s="1"/>
  <c r="E14" i="4"/>
  <c r="F14" i="4" s="1"/>
  <c r="E15" i="4"/>
  <c r="F15" i="4" s="1"/>
  <c r="E16" i="4"/>
  <c r="F16" i="4" s="1"/>
  <c r="E17" i="4"/>
  <c r="F17" i="4" s="1"/>
  <c r="E18" i="4"/>
  <c r="F18" i="4" s="1"/>
  <c r="E19" i="4"/>
  <c r="F19" i="4" s="1"/>
  <c r="E20" i="4"/>
  <c r="F20" i="4" s="1"/>
  <c r="E21" i="4"/>
  <c r="F21" i="4" s="1"/>
  <c r="E22" i="4"/>
  <c r="F22" i="4" s="1"/>
  <c r="E23" i="4"/>
  <c r="F23" i="4" s="1"/>
  <c r="E24" i="4"/>
  <c r="F24" i="4" s="1"/>
  <c r="E25" i="4"/>
  <c r="F25" i="4" s="1"/>
  <c r="E26" i="4"/>
  <c r="F26" i="4" s="1"/>
  <c r="E27" i="4"/>
  <c r="F27" i="4" s="1"/>
  <c r="E28" i="4"/>
  <c r="F28" i="4" s="1"/>
  <c r="E29" i="4"/>
  <c r="F29" i="4" s="1"/>
  <c r="E30" i="4"/>
  <c r="F30" i="4" s="1"/>
  <c r="E31" i="4"/>
  <c r="F31" i="4" s="1"/>
  <c r="E32" i="4"/>
  <c r="F32" i="4" s="1"/>
  <c r="E33" i="4"/>
  <c r="F33" i="4" s="1"/>
  <c r="E34" i="4"/>
  <c r="F34" i="4" s="1"/>
  <c r="E35" i="4"/>
  <c r="F35" i="4" s="1"/>
  <c r="E36" i="4"/>
  <c r="F36" i="4" s="1"/>
  <c r="E37" i="4"/>
  <c r="F37" i="4" s="1"/>
  <c r="E38" i="4"/>
  <c r="F38" i="4" s="1"/>
  <c r="E39" i="4"/>
  <c r="F39" i="4" s="1"/>
  <c r="E40" i="4"/>
  <c r="F40" i="4" s="1"/>
  <c r="E41" i="4"/>
  <c r="F41" i="4" s="1"/>
  <c r="E7" i="4"/>
  <c r="K9" i="3"/>
  <c r="B9" i="3"/>
  <c r="E6" i="3"/>
  <c r="E7" i="3"/>
  <c r="H46" i="2"/>
  <c r="H45" i="2"/>
  <c r="H44" i="2"/>
  <c r="H43" i="2"/>
  <c r="H42" i="2"/>
  <c r="H41" i="2"/>
  <c r="L25" i="4" l="1"/>
  <c r="L24" i="4"/>
  <c r="L23" i="4"/>
  <c r="H47" i="2"/>
  <c r="I45" i="2" l="1"/>
  <c r="I42" i="2"/>
  <c r="I46" i="2"/>
  <c r="I43" i="2"/>
  <c r="I44" i="2"/>
  <c r="I41" i="2"/>
  <c r="I47" i="2" l="1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7" i="2"/>
  <c r="J10" i="2"/>
  <c r="I8" i="2"/>
  <c r="J8" i="2" s="1"/>
  <c r="I9" i="2"/>
  <c r="J9" i="2" s="1"/>
  <c r="I10" i="2"/>
  <c r="I11" i="2"/>
  <c r="J11" i="2" s="1"/>
  <c r="H18" i="3" s="1"/>
  <c r="I12" i="2"/>
  <c r="J12" i="2" s="1"/>
  <c r="I13" i="2"/>
  <c r="J13" i="2" s="1"/>
  <c r="I14" i="2"/>
  <c r="J14" i="2" s="1"/>
  <c r="I15" i="2"/>
  <c r="J15" i="2" s="1"/>
  <c r="I16" i="2"/>
  <c r="J16" i="2" s="1"/>
  <c r="I17" i="2"/>
  <c r="J17" i="2" s="1"/>
  <c r="L17" i="2" s="1"/>
  <c r="I18" i="2"/>
  <c r="J18" i="2" s="1"/>
  <c r="I19" i="2"/>
  <c r="J19" i="2" s="1"/>
  <c r="I20" i="2"/>
  <c r="J20" i="2" s="1"/>
  <c r="I21" i="2"/>
  <c r="J21" i="2" s="1"/>
  <c r="I22" i="2"/>
  <c r="J22" i="2" s="1"/>
  <c r="I23" i="2"/>
  <c r="J23" i="2" s="1"/>
  <c r="I24" i="2"/>
  <c r="J24" i="2" s="1"/>
  <c r="I25" i="2"/>
  <c r="J25" i="2" s="1"/>
  <c r="I26" i="2"/>
  <c r="J26" i="2" s="1"/>
  <c r="I27" i="2"/>
  <c r="J27" i="2" s="1"/>
  <c r="I28" i="2"/>
  <c r="J28" i="2" s="1"/>
  <c r="I29" i="2"/>
  <c r="J29" i="2" s="1"/>
  <c r="L29" i="2" s="1"/>
  <c r="I30" i="2"/>
  <c r="J30" i="2" s="1"/>
  <c r="I31" i="2"/>
  <c r="J31" i="2" s="1"/>
  <c r="I32" i="2"/>
  <c r="J32" i="2" s="1"/>
  <c r="I33" i="2"/>
  <c r="J33" i="2" s="1"/>
  <c r="L33" i="2" s="1"/>
  <c r="I34" i="2"/>
  <c r="J34" i="2" s="1"/>
  <c r="I35" i="2"/>
  <c r="J35" i="2" s="1"/>
  <c r="I36" i="2"/>
  <c r="J36" i="2" s="1"/>
  <c r="I37" i="2"/>
  <c r="J37" i="2" s="1"/>
  <c r="I7" i="2"/>
  <c r="J7" i="2" s="1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7" i="2"/>
  <c r="K6" i="3" s="1"/>
  <c r="H17" i="3" l="1"/>
  <c r="L9" i="2"/>
  <c r="H16" i="3"/>
  <c r="H15" i="3"/>
  <c r="H19" i="3"/>
  <c r="H6" i="3"/>
  <c r="H8" i="3" s="1"/>
  <c r="H7" i="3"/>
  <c r="L7" i="2"/>
  <c r="H14" i="3"/>
  <c r="K11" i="3"/>
  <c r="K10" i="3"/>
  <c r="K8" i="3"/>
  <c r="K7" i="3"/>
  <c r="E11" i="3"/>
  <c r="E10" i="3"/>
  <c r="N36" i="2"/>
  <c r="L36" i="2"/>
  <c r="M36" i="2" s="1"/>
  <c r="N28" i="2"/>
  <c r="L28" i="2"/>
  <c r="M28" i="2" s="1"/>
  <c r="N20" i="2"/>
  <c r="L20" i="2"/>
  <c r="M20" i="2" s="1"/>
  <c r="N12" i="2"/>
  <c r="L12" i="2"/>
  <c r="M12" i="2" s="1"/>
  <c r="N31" i="2"/>
  <c r="L31" i="2"/>
  <c r="M31" i="2" s="1"/>
  <c r="N27" i="2"/>
  <c r="L27" i="2"/>
  <c r="M27" i="2" s="1"/>
  <c r="N19" i="2"/>
  <c r="L19" i="2"/>
  <c r="M19" i="2" s="1"/>
  <c r="N15" i="2"/>
  <c r="L15" i="2"/>
  <c r="M15" i="2" s="1"/>
  <c r="N11" i="2"/>
  <c r="B50" i="2" s="1"/>
  <c r="L11" i="2"/>
  <c r="M11" i="2" s="1"/>
  <c r="N32" i="2"/>
  <c r="L32" i="2"/>
  <c r="M32" i="2" s="1"/>
  <c r="N24" i="2"/>
  <c r="L24" i="2"/>
  <c r="M24" i="2" s="1"/>
  <c r="N16" i="2"/>
  <c r="L16" i="2"/>
  <c r="M16" i="2" s="1"/>
  <c r="N8" i="2"/>
  <c r="L8" i="2"/>
  <c r="M8" i="2" s="1"/>
  <c r="B7" i="3" s="1"/>
  <c r="N35" i="2"/>
  <c r="L35" i="2"/>
  <c r="M35" i="2" s="1"/>
  <c r="N23" i="2"/>
  <c r="L23" i="2"/>
  <c r="M23" i="2" s="1"/>
  <c r="N25" i="2"/>
  <c r="N21" i="2"/>
  <c r="N13" i="2"/>
  <c r="L25" i="2"/>
  <c r="M25" i="2" s="1"/>
  <c r="L21" i="2"/>
  <c r="M21" i="2" s="1"/>
  <c r="N7" i="2"/>
  <c r="M7" i="2"/>
  <c r="N34" i="2"/>
  <c r="N30" i="2"/>
  <c r="N26" i="2"/>
  <c r="N22" i="2"/>
  <c r="M22" i="2"/>
  <c r="N18" i="2"/>
  <c r="N14" i="2"/>
  <c r="N10" i="2"/>
  <c r="B49" i="2" s="1"/>
  <c r="L34" i="2"/>
  <c r="M34" i="2" s="1"/>
  <c r="L30" i="2"/>
  <c r="M30" i="2" s="1"/>
  <c r="L26" i="2"/>
  <c r="M26" i="2" s="1"/>
  <c r="L22" i="2"/>
  <c r="L18" i="2"/>
  <c r="M18" i="2" s="1"/>
  <c r="L14" i="2"/>
  <c r="M14" i="2" s="1"/>
  <c r="L10" i="2"/>
  <c r="M10" i="2" s="1"/>
  <c r="N33" i="2"/>
  <c r="M33" i="2"/>
  <c r="N29" i="2"/>
  <c r="M29" i="2"/>
  <c r="N17" i="2"/>
  <c r="M17" i="2"/>
  <c r="N9" i="2"/>
  <c r="B48" i="2" s="1"/>
  <c r="M9" i="2"/>
  <c r="L13" i="2"/>
  <c r="M13" i="2" s="1"/>
  <c r="F37" i="2"/>
  <c r="B47" i="2" l="1"/>
  <c r="B11" i="3"/>
  <c r="B41" i="2"/>
  <c r="B10" i="3"/>
  <c r="B6" i="3"/>
  <c r="B42" i="2"/>
  <c r="B8" i="3"/>
  <c r="B51" i="2"/>
  <c r="M42" i="2"/>
  <c r="M41" i="2"/>
  <c r="M37" i="2"/>
  <c r="G20" i="7"/>
  <c r="B43" i="2" l="1"/>
  <c r="D41" i="2" s="1"/>
  <c r="D43" i="2" s="1"/>
  <c r="D42" i="2"/>
  <c r="B52" i="2"/>
  <c r="D47" i="2" s="1"/>
  <c r="D50" i="2" l="1"/>
  <c r="D49" i="2"/>
  <c r="D48" i="2"/>
  <c r="D51" i="2"/>
  <c r="D46" i="2"/>
  <c r="D52" i="2" s="1"/>
  <c r="A4" i="4"/>
</calcChain>
</file>

<file path=xl/comments1.xml><?xml version="1.0" encoding="utf-8"?>
<comments xmlns="http://schemas.openxmlformats.org/spreadsheetml/2006/main">
  <authors>
    <author>ESTUDIANTE</author>
    <author>Censa</author>
    <author>Rorschack</author>
  </authors>
  <commentList>
    <comment ref="E6" authorId="0" shapeId="0">
      <text>
        <r>
          <rPr>
            <b/>
            <sz val="9"/>
            <color indexed="81"/>
            <rFont val="Tahoma"/>
            <charset val="1"/>
          </rPr>
          <t>aplique un formato que muestre la fecha de nacimiento como 28-ene-2018</t>
        </r>
      </text>
    </comment>
    <comment ref="F6" authorId="0" shapeId="0">
      <text>
        <r>
          <rPr>
            <b/>
            <sz val="9"/>
            <color indexed="81"/>
            <rFont val="Tahoma"/>
            <charset val="1"/>
          </rPr>
          <t>calcular la edad a partir de la fecha de nacimiento</t>
        </r>
      </text>
    </comment>
    <comment ref="I6" authorId="1" shapeId="0">
      <text>
        <r>
          <rPr>
            <b/>
            <sz val="9"/>
            <color indexed="81"/>
            <rFont val="Tahoma"/>
            <family val="2"/>
          </rPr>
          <t>La hora extra tiene un incremento del 25% con respecto al valor de la hora ordinaria</t>
        </r>
      </text>
    </comment>
    <comment ref="J6" authorId="0" shapeId="0">
      <text>
        <r>
          <rPr>
            <b/>
            <sz val="9"/>
            <color indexed="81"/>
            <rFont val="Tahoma"/>
            <charset val="1"/>
          </rPr>
          <t>es el valor de la hora extra por la cantidad de horas extra</t>
        </r>
      </text>
    </comment>
    <comment ref="K6" authorId="0" shapeId="0">
      <text>
        <r>
          <rPr>
            <b/>
            <sz val="9"/>
            <color indexed="81"/>
            <rFont val="Tahoma"/>
            <charset val="1"/>
          </rPr>
          <t>si el básico es mayor que 2 smlv, no recibe auxilio de transporte, de lo contrario se le paga el valor correspondiente</t>
        </r>
      </text>
    </comment>
    <comment ref="L6" authorId="0" shapeId="0">
      <text>
        <r>
          <rPr>
            <b/>
            <sz val="9"/>
            <color indexed="81"/>
            <rFont val="Tahoma"/>
            <charset val="1"/>
          </rPr>
          <t>son el 8% del devengado, es decir básico mas total horas extra</t>
        </r>
      </text>
    </comment>
    <comment ref="M6" authorId="0" shapeId="0">
      <text>
        <r>
          <rPr>
            <b/>
            <sz val="9"/>
            <color indexed="81"/>
            <rFont val="Tahoma"/>
            <charset val="1"/>
          </rPr>
          <t>básico más extras más auxilio de transporte menos deducciones</t>
        </r>
      </text>
    </comment>
    <comment ref="N6" authorId="1" shapeId="0">
      <text>
        <r>
          <rPr>
            <b/>
            <sz val="9"/>
            <color indexed="81"/>
            <rFont val="Tahoma"/>
            <family val="2"/>
          </rPr>
          <t>será el 30% del total de horas extras para los que trabajaron más de 5 horas extras. Para los demás, será el 15%</t>
        </r>
      </text>
    </comment>
    <comment ref="F37" authorId="0" shapeId="0">
      <text>
        <r>
          <rPr>
            <b/>
            <sz val="9"/>
            <color indexed="81"/>
            <rFont val="Tahoma"/>
            <charset val="1"/>
          </rPr>
          <t>muestre el promedio de edad sin decimales y sin aproximar</t>
        </r>
      </text>
    </comment>
    <comment ref="K37" authorId="2" shapeId="0">
      <text>
        <r>
          <rPr>
            <b/>
            <sz val="9"/>
            <color indexed="81"/>
            <rFont val="Tahoma"/>
            <charset val="1"/>
          </rPr>
          <t>No incluir las bonificaciones</t>
        </r>
      </text>
    </comment>
    <comment ref="A40" authorId="2" shapeId="0">
      <text>
        <r>
          <rPr>
            <b/>
            <sz val="9"/>
            <color indexed="81"/>
            <rFont val="Tahoma"/>
            <family val="2"/>
          </rPr>
          <t>Utilice el total a pagar</t>
        </r>
      </text>
    </comment>
    <comment ref="G40" authorId="0" shapeId="0">
      <text>
        <r>
          <rPr>
            <b/>
            <sz val="9"/>
            <color indexed="81"/>
            <rFont val="Tahoma"/>
            <charset val="1"/>
          </rPr>
          <t>Puede modificar las etiquetas con los estados civiles en caso de querer utilizarlas como condición.</t>
        </r>
      </text>
    </comment>
    <comment ref="L40" authorId="2" shapeId="0">
      <text>
        <r>
          <rPr>
            <b/>
            <sz val="9"/>
            <color indexed="81"/>
            <rFont val="Tahoma"/>
            <family val="2"/>
          </rPr>
          <t>Utilice el total a pagar</t>
        </r>
      </text>
    </comment>
  </commentList>
</comments>
</file>

<file path=xl/comments2.xml><?xml version="1.0" encoding="utf-8"?>
<comments xmlns="http://schemas.openxmlformats.org/spreadsheetml/2006/main">
  <authors>
    <author>Rorschack</author>
    <author>ESTUDIANTE</author>
  </authors>
  <commentList>
    <comment ref="A4" authorId="0" shapeId="0">
      <text>
        <r>
          <rPr>
            <b/>
            <sz val="9"/>
            <color indexed="81"/>
            <rFont val="Tahoma"/>
            <family val="2"/>
          </rPr>
          <t>Utilice el total a pagar</t>
        </r>
      </text>
    </comment>
    <comment ref="A5" authorId="1" shapeId="0">
      <text>
        <r>
          <rPr>
            <b/>
            <sz val="9"/>
            <color indexed="81"/>
            <rFont val="Tahoma"/>
            <charset val="1"/>
          </rPr>
          <t>Puede modificar las etiquetas de los estados civiles en caso de querer utilizarlas como conción.</t>
        </r>
      </text>
    </comment>
  </commentList>
</comments>
</file>

<file path=xl/comments3.xml><?xml version="1.0" encoding="utf-8"?>
<comments xmlns="http://schemas.openxmlformats.org/spreadsheetml/2006/main">
  <authors>
    <author>ESTUDIANTE</author>
  </authors>
  <commentList>
    <comment ref="E6" authorId="0" shapeId="0">
      <text>
        <r>
          <rPr>
            <b/>
            <sz val="9"/>
            <color indexed="81"/>
            <rFont val="Tahoma"/>
            <charset val="1"/>
          </rPr>
          <t>IMC (indice de masa corporal) es: peso / talla ^ 2</t>
        </r>
      </text>
    </comment>
    <comment ref="F6" authorId="0" shapeId="0">
      <text>
        <r>
          <rPr>
            <b/>
            <sz val="9"/>
            <color indexed="81"/>
            <rFont val="Tahoma"/>
            <charset val="1"/>
          </rPr>
          <t>Indicar según IMC:
* &gt; 25 → sobre peso
* &lt; 18 → Falta peso
* entre 18 y 25 → normal</t>
        </r>
      </text>
    </comment>
    <comment ref="H6" authorId="0" shapeId="0">
      <text>
        <r>
          <rPr>
            <b/>
            <sz val="9"/>
            <color indexed="81"/>
            <rFont val="Tahoma"/>
            <charset val="1"/>
          </rPr>
          <t>Calcule la edad partiendo de la fecha de nacimiento</t>
        </r>
      </text>
    </comment>
  </commentList>
</comments>
</file>

<file path=xl/sharedStrings.xml><?xml version="1.0" encoding="utf-8"?>
<sst xmlns="http://schemas.openxmlformats.org/spreadsheetml/2006/main" count="385" uniqueCount="267">
  <si>
    <t>SMLV</t>
  </si>
  <si>
    <t>AUX TTE</t>
  </si>
  <si>
    <t>EMPLEADO</t>
  </si>
  <si>
    <t>AUX. TTE</t>
  </si>
  <si>
    <t>DEDUCCIONES</t>
  </si>
  <si>
    <t>TOTAL A PAGAR</t>
  </si>
  <si>
    <t>SEXO</t>
  </si>
  <si>
    <t>E. CIVIL</t>
  </si>
  <si>
    <t>M</t>
  </si>
  <si>
    <t>F</t>
  </si>
  <si>
    <t>ESTADÍSTICAS</t>
  </si>
  <si>
    <t>TOTAL SALARIOS SEGÚN GENERO</t>
  </si>
  <si>
    <t>Solteros</t>
  </si>
  <si>
    <t>Viudos</t>
  </si>
  <si>
    <t>Casados</t>
  </si>
  <si>
    <t>Divorciados</t>
  </si>
  <si>
    <t>Salario Promedio Según Género</t>
  </si>
  <si>
    <t>Deducciones</t>
  </si>
  <si>
    <t>Bonificación</t>
  </si>
  <si>
    <t>SERVICIOS Y SERVICIOS LTDA.</t>
  </si>
  <si>
    <t>Promedio de Salarios Según E.C.</t>
  </si>
  <si>
    <t>Total Horas Mujeres</t>
  </si>
  <si>
    <t>Total Horas Hombres</t>
  </si>
  <si>
    <t>Cantidad de Personas Según Auxilio de Transporte</t>
  </si>
  <si>
    <t>Reciben Auxilio Transporte</t>
  </si>
  <si>
    <t>No Reciben Auxilio de Transporte</t>
  </si>
  <si>
    <t>E. Civil</t>
  </si>
  <si>
    <t>Cantidad</t>
  </si>
  <si>
    <t>Género</t>
  </si>
  <si>
    <t>Horas</t>
  </si>
  <si>
    <t>Auxilio Transporte</t>
  </si>
  <si>
    <t>Cant. Horas Extras</t>
  </si>
  <si>
    <t>BASICO</t>
  </si>
  <si>
    <t>Uriel de Jesus Alvarez Alvarez</t>
  </si>
  <si>
    <t>Francisco Javier Alvarez Granda</t>
  </si>
  <si>
    <t>Maria Eugenia Arias Gomez</t>
  </si>
  <si>
    <t>Gustavo Adolfo Buitrago Meneses</t>
  </si>
  <si>
    <t>Douglas Bustamante Quintana</t>
  </si>
  <si>
    <t>Leon Jairo Correal Tamayo</t>
  </si>
  <si>
    <t>William Diaz Buritica</t>
  </si>
  <si>
    <t>Marta Elena Fulla Castañeda</t>
  </si>
  <si>
    <t>Luz Marina Giraldo Giraldo</t>
  </si>
  <si>
    <t>Hernan Dario Gutierrez Monsalve</t>
  </si>
  <si>
    <t>Martha Irene Henao Osorio</t>
  </si>
  <si>
    <t>Baldoina Longa Ramirez</t>
  </si>
  <si>
    <t>Natalia Lopez Medina</t>
  </si>
  <si>
    <t>Fernain de Jesus Lopez Restrepo</t>
  </si>
  <si>
    <t>Martha Ines Mazo Loaiza</t>
  </si>
  <si>
    <t>John Camilo Montoya Hoyos</t>
  </si>
  <si>
    <t>Renso Alberto Ortiz Gañan</t>
  </si>
  <si>
    <t>Victor Hugo Ramirez Velasquez</t>
  </si>
  <si>
    <t>Jesus Antonio Ramos Moreno</t>
  </si>
  <si>
    <t>Doris Maritza Ramos Rodriquez</t>
  </si>
  <si>
    <t>Aura Ines Roldan Orrego</t>
  </si>
  <si>
    <t>Jose Hernan Roldan Perez</t>
  </si>
  <si>
    <t>Edier Osbaldo Ruiz Carvajal</t>
  </si>
  <si>
    <t>Jose Arcangel Salazar Florez</t>
  </si>
  <si>
    <t>Nelson de Jesus Taborda</t>
  </si>
  <si>
    <t>Cesar Augusto Torres Millan</t>
  </si>
  <si>
    <t>Pedro Rafael Toscano Olivella</t>
  </si>
  <si>
    <t>Victor Hugo Valderrama Pulgarin</t>
  </si>
  <si>
    <t>Elvia Olivia Yarce Ramirez</t>
  </si>
  <si>
    <t>John Wilinton Rojas Paniagua</t>
  </si>
  <si>
    <t>FECHA NACIMIENTO</t>
  </si>
  <si>
    <t>Soltero (a)</t>
  </si>
  <si>
    <t>Viudo (a)</t>
  </si>
  <si>
    <t>Separado (a)</t>
  </si>
  <si>
    <t>Casado (a)</t>
  </si>
  <si>
    <t>Unión Libre</t>
  </si>
  <si>
    <t>EDAD</t>
  </si>
  <si>
    <t>Valor de la Hora Extra</t>
  </si>
  <si>
    <t>Separados</t>
  </si>
  <si>
    <t>Cantidad de Horas Extras Trabajadas Según el Género</t>
  </si>
  <si>
    <t>Promedio de Edad Según el Estado Civil</t>
  </si>
  <si>
    <t>Edad Mayor</t>
  </si>
  <si>
    <t>Edad Menor</t>
  </si>
  <si>
    <t>Promedio de Edad</t>
  </si>
  <si>
    <t>Cantidad de Personas Según el Estado Civil</t>
  </si>
  <si>
    <t>Total Salarios a Pagar</t>
  </si>
  <si>
    <t>c) CANTIDAD DE ALUMNOS SEGÚN IMC</t>
  </si>
  <si>
    <t>B) CANTIDAD DE ALUMNOS SEGÚN LA ESTATURA</t>
  </si>
  <si>
    <t>a) Estatura Promedio Según IMC</t>
  </si>
  <si>
    <t>grafique las tablas:</t>
  </si>
  <si>
    <t>En la tabla respectiva, calcule la cantidad de alumnos según su estatura</t>
  </si>
  <si>
    <t>En la parte inferior de la tabla, calcule el total recaudado</t>
  </si>
  <si>
    <t>En el respectivo cuadro, calcule el promedio de Estatura según el IMC</t>
  </si>
  <si>
    <t>En las respectivas casillas, calcule los promedios de peso, estatura y edad</t>
  </si>
  <si>
    <t>En la columna estado, debe indicar según el IMC, si tiene sobrepeso, es normal, o falta peso</t>
  </si>
  <si>
    <t>Sobrepeso</t>
  </si>
  <si>
    <t>Normal</t>
  </si>
  <si>
    <t>Falta Peso</t>
  </si>
  <si>
    <t>Estado</t>
  </si>
  <si>
    <t>CANTIDAD DE ALUMNOS SEGÚN LA ESTATURA</t>
  </si>
  <si>
    <t>TOTAL RECAUDADO</t>
  </si>
  <si>
    <t>Rios Ruiz, Rocky Ray</t>
  </si>
  <si>
    <t>Guarnizo Chalco, Jesus Emilio</t>
  </si>
  <si>
    <t>Nava Calderon, Luigi Eduardo</t>
  </si>
  <si>
    <t>Cardoza Chero, Walter David</t>
  </si>
  <si>
    <t>Vilchez Rodriguez, Reiner David</t>
  </si>
  <si>
    <t>Salazar Chavez, Roberto Carlos</t>
  </si>
  <si>
    <t>Carrrasco Iriarte, Victor Ignacio</t>
  </si>
  <si>
    <t>Vera Rivas, Ronald</t>
  </si>
  <si>
    <t>Sanchez Cordova, Juan Luis</t>
  </si>
  <si>
    <t>Vega Rojas, Ernesto</t>
  </si>
  <si>
    <t>Zapata Riofrio, Johnatan Eduardo</t>
  </si>
  <si>
    <t>Pichilingue Pozo, Jorge André</t>
  </si>
  <si>
    <t>Palacios Valladares, Richard André</t>
  </si>
  <si>
    <t>Garcia Quevedo, Brandon Stwear</t>
  </si>
  <si>
    <t>Laroca Vasquez, Martin Humberto</t>
  </si>
  <si>
    <t>Córdova Gomez, Sergio Antonio</t>
  </si>
  <si>
    <t>Roblez Machaguay, Lenin Alejandro</t>
  </si>
  <si>
    <t>Requena Troncos, Rafael Angel</t>
  </si>
  <si>
    <t>Abramonte Abada Miguel angel</t>
  </si>
  <si>
    <t>Velasquez Mendoza, Juan Carlos</t>
  </si>
  <si>
    <t>Rosillo Dedios, Fernando Martin</t>
  </si>
  <si>
    <t>Portocarrero Aleman, Oscar Daniel</t>
  </si>
  <si>
    <t>Garcia Gallardo, Jorge Alejandro</t>
  </si>
  <si>
    <t>Saravia Herrera, Franco Paul</t>
  </si>
  <si>
    <t>Gallardo Salazar, Carlos Junior</t>
  </si>
  <si>
    <t>Castro reyes, julio Santino</t>
  </si>
  <si>
    <t>Hernandes Barrientos, Pedro Ernesto</t>
  </si>
  <si>
    <t>Alamo viera, MarcoantonioVictor</t>
  </si>
  <si>
    <t>Panta Trelles, Jean Pierre</t>
  </si>
  <si>
    <t>Domingues Troncos, Juan ricardo</t>
  </si>
  <si>
    <t>Peña Castillo, Martin Jhonattan</t>
  </si>
  <si>
    <t>Gonzales Yarleque, Renzo Jesus</t>
  </si>
  <si>
    <t>Edad</t>
  </si>
  <si>
    <t>Berru Yarleque, Mauricio Rolando</t>
  </si>
  <si>
    <t>Estatura</t>
  </si>
  <si>
    <t>Bustamante ocaña, Erik josue</t>
  </si>
  <si>
    <t>Peso</t>
  </si>
  <si>
    <t>Lozada Mejia, Patricio Alonso</t>
  </si>
  <si>
    <t>Promedios</t>
  </si>
  <si>
    <t>Mensualidad</t>
  </si>
  <si>
    <t>IMC</t>
  </si>
  <si>
    <t>Talla</t>
  </si>
  <si>
    <t>Apellidos y Nombres</t>
  </si>
  <si>
    <t>No.</t>
  </si>
  <si>
    <t xml:space="preserve">TALLAS Y PESOS DE LOS ALUMNOS </t>
  </si>
  <si>
    <t>así:  IMC menor que 18 es falta de peso, IMC mayor que 25 es sobrepeso, IMC entre 18 y 25 se considera normal</t>
  </si>
  <si>
    <t>PARA ESTA HOJA, DEBE PARTIR DE LOS DATOS QUE SE ENCUENTRAN EN LA HOJA EMPRESA.</t>
  </si>
  <si>
    <t>Fecha Nac</t>
  </si>
  <si>
    <t>Calcule la edad para cada estudiante</t>
  </si>
  <si>
    <t>Salario</t>
  </si>
  <si>
    <t>ITEM</t>
  </si>
  <si>
    <t>Total Horas Extra</t>
  </si>
  <si>
    <t>calcule las estadísticas y genere la gráfica respectiva. Debe consultar cómo crear gráficos</t>
  </si>
  <si>
    <t>Edad Promedio</t>
  </si>
  <si>
    <t>Más de 1,50</t>
  </si>
  <si>
    <t>Hasta 1,50</t>
  </si>
  <si>
    <t>Nro. Alumnos</t>
  </si>
  <si>
    <t xml:space="preserve"> →</t>
  </si>
  <si>
    <t>Cuántos alumnos son</t>
  </si>
  <si>
    <t>Cantidad de Pagos</t>
  </si>
  <si>
    <t>Recibidos</t>
  </si>
  <si>
    <t>Atrazados</t>
  </si>
  <si>
    <t>Calcule el IMC (indice de masa corporal) así: peso / talla^2</t>
  </si>
  <si>
    <t>Calcule en el respectivo cuadro, la cantidad de alumnos con sobrepeso, con peso normal y con falta de peso</t>
  </si>
  <si>
    <t>PROCESO</t>
  </si>
  <si>
    <t>Marketing</t>
  </si>
  <si>
    <t>Gestión Financiera</t>
  </si>
  <si>
    <t>Gestión Administrativa</t>
  </si>
  <si>
    <t>Gestión Del Talento Humano</t>
  </si>
  <si>
    <t>Gestión De La Producción</t>
  </si>
  <si>
    <t>Gestión De La Calidad</t>
  </si>
  <si>
    <t xml:space="preserve">Total Salarios Mujeres:  </t>
  </si>
  <si>
    <t xml:space="preserve">Total Salarios Hombres:  </t>
  </si>
  <si>
    <t xml:space="preserve">Mujeres:  </t>
  </si>
  <si>
    <t xml:space="preserve">Hombres:  </t>
  </si>
  <si>
    <t>TOTAL BONIFICACIÓN POR PROCESOS</t>
  </si>
  <si>
    <t xml:space="preserve">Marketing:  </t>
  </si>
  <si>
    <t xml:space="preserve">Gestión Financiera:  </t>
  </si>
  <si>
    <t xml:space="preserve">Gestión Administrativa:  </t>
  </si>
  <si>
    <t xml:space="preserve">Gestión Del Talento Humano:  </t>
  </si>
  <si>
    <t xml:space="preserve">Gestión De La Producción:  </t>
  </si>
  <si>
    <t xml:space="preserve">Gestión De La Calidad:  </t>
  </si>
  <si>
    <t>PORCENTAJES DE PARTICIPACIÓN</t>
  </si>
  <si>
    <t xml:space="preserve">TOTALES GENERALES:   </t>
  </si>
  <si>
    <t>PORCENTAJES DE DISTRIBUCIÓN</t>
  </si>
  <si>
    <t xml:space="preserve">TOTALES:  </t>
  </si>
  <si>
    <t>Promedio del Total de Horas Extra Por Procesos</t>
  </si>
  <si>
    <t>Proceso</t>
  </si>
  <si>
    <t>Extras Prom</t>
  </si>
  <si>
    <t>CANTIDAD DE ALUMNOS SEGÚN ESTADO</t>
  </si>
  <si>
    <t>Promedio de Estatura Según ESTADO</t>
  </si>
  <si>
    <t>PACIENTE</t>
  </si>
  <si>
    <t>ESTATURA(Mts)</t>
  </si>
  <si>
    <t>PESO (Kg)</t>
  </si>
  <si>
    <t>ESTADO</t>
  </si>
  <si>
    <t>OBSERVACION</t>
  </si>
  <si>
    <t>MARIANA SOLIS</t>
  </si>
  <si>
    <t>DIANA MORA</t>
  </si>
  <si>
    <t>Infrapeso</t>
  </si>
  <si>
    <t>menor a</t>
  </si>
  <si>
    <t>18,5</t>
  </si>
  <si>
    <t>DIEGO PARRA</t>
  </si>
  <si>
    <t>entre</t>
  </si>
  <si>
    <t>18,5 y 24</t>
  </si>
  <si>
    <t>MARCELA LOPEZ</t>
  </si>
  <si>
    <t>25 y 29</t>
  </si>
  <si>
    <t>MARIO SUAREZ</t>
  </si>
  <si>
    <t>Obeso</t>
  </si>
  <si>
    <t>mayor o igual a</t>
  </si>
  <si>
    <t>DANNA LOPERA</t>
  </si>
  <si>
    <t>MAURICIO SOTO</t>
  </si>
  <si>
    <t>JHON CAMPO</t>
  </si>
  <si>
    <t>Ejercicio a realizar:</t>
  </si>
  <si>
    <t>1. calcular el IMC → IMC = PESO/ ALTURA^2</t>
  </si>
  <si>
    <t>3.En la observacion se debe indicar :</t>
  </si>
  <si>
    <t xml:space="preserve">a. Si es infrapeso:  </t>
  </si>
  <si>
    <t>→</t>
  </si>
  <si>
    <t>Necesita mejor alimentación</t>
  </si>
  <si>
    <t xml:space="preserve">b. Si es normal: </t>
  </si>
  <si>
    <t>Felicitaciones , continúe con su dieta</t>
  </si>
  <si>
    <t>c. Si es sobrepeso:</t>
  </si>
  <si>
    <t>Debe empezar una dieta de prevención</t>
  </si>
  <si>
    <t>d. Si es obeso:</t>
  </si>
  <si>
    <t>Debe empezar un tratamiento</t>
  </si>
  <si>
    <t>INDICADOR DE ESTADO</t>
  </si>
  <si>
    <r>
      <t>2. Determinar el estado de acuerdo al indice de masa corporal según la tabla de</t>
    </r>
    <r>
      <rPr>
        <b/>
        <sz val="11"/>
        <color theme="1"/>
        <rFont val="Calibri"/>
        <family val="2"/>
        <scheme val="minor"/>
      </rPr>
      <t xml:space="preserve"> indicador</t>
    </r>
    <r>
      <rPr>
        <sz val="11"/>
        <color theme="1"/>
        <rFont val="Calibri"/>
        <family val="2"/>
        <scheme val="minor"/>
      </rPr>
      <t xml:space="preserve"> relacionada arriba</t>
    </r>
  </si>
  <si>
    <t>e. otro:</t>
  </si>
  <si>
    <t xml:space="preserve">→ </t>
  </si>
  <si>
    <t>Error</t>
  </si>
  <si>
    <t>Versión: 20220126</t>
  </si>
  <si>
    <t>OBJETIVOS DEL TALLER</t>
  </si>
  <si>
    <t xml:space="preserve">Afianzar el uso de funciones básicas y </t>
  </si>
  <si>
    <t>el uso de referencias absolutas.</t>
  </si>
  <si>
    <t>Consultar como realizar cálculos con celdas de otras hojas.</t>
  </si>
  <si>
    <t>Aplicar funciones lógicas de acuerdo a lo requerido.</t>
  </si>
  <si>
    <t>Consultar y crear gráficos según se requiere la actividad.</t>
  </si>
  <si>
    <t>Aplicar el uso de referencias cruzadas.</t>
  </si>
  <si>
    <t>Consultar y aplicar funciones que permitan controlar</t>
  </si>
  <si>
    <t>los errores en Excel.</t>
  </si>
  <si>
    <t>CALIFICACIÓN</t>
  </si>
  <si>
    <t>Fórmulas en la hoja empresa (1,0)</t>
  </si>
  <si>
    <t>Fórmulas en la hoja estadísticas (1,0)</t>
  </si>
  <si>
    <t>Fórmulas en la hoja alumnos (1,0)</t>
  </si>
  <si>
    <t>Fórmulas en la hoja nutricionista (1,0)</t>
  </si>
  <si>
    <t>Gráficos en las hojas estadísticas y alumnos (1,0)</t>
  </si>
  <si>
    <t>*</t>
  </si>
  <si>
    <t xml:space="preserve">Marketing </t>
  </si>
  <si>
    <t>Versión: 20230123</t>
  </si>
  <si>
    <t>Versión: 20230220</t>
  </si>
  <si>
    <t>POLITÉCNICO DE COLOMBIA</t>
  </si>
  <si>
    <t>EDUCACIÓN PARA EL TRABAJO Y EL DESARROLLO HUMANO</t>
  </si>
  <si>
    <t>MODELO</t>
  </si>
  <si>
    <t>RÚBRICAS DE CALIFICACIÓN</t>
  </si>
  <si>
    <t>CÓDIGO: M2-FR18</t>
  </si>
  <si>
    <t>VERSIÓN: 1</t>
  </si>
  <si>
    <t>Página 1 de 1</t>
  </si>
  <si>
    <t>RUBRICA DE CALIFICACION</t>
  </si>
  <si>
    <t>VALORACION</t>
  </si>
  <si>
    <t xml:space="preserve">Se evidencia de manera sobresaliente
</t>
  </si>
  <si>
    <t>Es correcto, pero aún puede mejorar</t>
  </si>
  <si>
    <t>No se cumple de forma satisfactoria</t>
  </si>
  <si>
    <t>Es deficiente y requiere mayor práctica.</t>
  </si>
  <si>
    <t>Nulo o no se evidencia.</t>
  </si>
  <si>
    <t>VALOR</t>
  </si>
  <si>
    <t>ITEM DESEMPEÑO</t>
  </si>
  <si>
    <t xml:space="preserve">Aplica funciones básicas y referecnias absolutas </t>
  </si>
  <si>
    <t>Aplica funciones lógicas de acuerdo a lo requerido</t>
  </si>
  <si>
    <t>Consulta y crea graficos en las hojas requeridas</t>
  </si>
  <si>
    <t>Aplica el uso de referencias cruzadas</t>
  </si>
  <si>
    <t>Consulta y aplica funciones que permitan controlar los errores de excel</t>
  </si>
  <si>
    <t>NOTA FINAL</t>
  </si>
  <si>
    <t xml:space="preserve"> </t>
  </si>
  <si>
    <t>Sebastian Garcia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</si>
</sst>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&quot;$&quot;\ #,##0"/>
    <numFmt numFmtId="165" formatCode="mmmm\ \-\ yyyy"/>
    <numFmt numFmtId="166" formatCode="dd\-mmm\-yyyy"/>
    <numFmt numFmtId="167" formatCode="0.0"/>
    <numFmt numFmtId="168" formatCode="_-&quot;$&quot;\ * #,##0_-;\-&quot;$&quot;\ * #,##0_-;_-&quot;$&quot;\ * &quot;-&quot;??_-;_-@_-"/>
  </numFmts>
  <fonts count="3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1"/>
      <color theme="9" tint="0.39997558519241921"/>
      <name val="Calibri"/>
      <family val="2"/>
      <scheme val="minor"/>
    </font>
    <font>
      <b/>
      <sz val="11"/>
      <color theme="9" tint="0.3999755851924192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theme="0"/>
      <name val="Arial"/>
      <family val="2"/>
    </font>
    <font>
      <sz val="10"/>
      <color theme="0"/>
      <name val="Arial"/>
      <family val="2"/>
    </font>
    <font>
      <sz val="12"/>
      <name val="Times New Roman"/>
      <family val="1"/>
    </font>
    <font>
      <b/>
      <sz val="20"/>
      <color theme="0"/>
      <name val="Arial"/>
      <family val="2"/>
    </font>
    <font>
      <b/>
      <i/>
      <sz val="10"/>
      <color theme="0"/>
      <name val="Arial"/>
      <family val="2"/>
    </font>
    <font>
      <b/>
      <i/>
      <sz val="10"/>
      <name val="Arial"/>
      <family val="2"/>
    </font>
    <font>
      <b/>
      <i/>
      <sz val="14"/>
      <color theme="0"/>
      <name val="Arial"/>
      <family val="2"/>
    </font>
    <font>
      <b/>
      <sz val="12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9"/>
      <color indexed="81"/>
      <name val="Tahoma"/>
      <family val="2"/>
    </font>
    <font>
      <b/>
      <sz val="9"/>
      <color indexed="81"/>
      <name val="Tahoma"/>
      <charset val="1"/>
    </font>
    <font>
      <sz val="11"/>
      <name val="Arial"/>
      <family val="2"/>
    </font>
    <font>
      <b/>
      <sz val="11"/>
      <name val="Arial"/>
      <family val="2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1"/>
      <name val="Calibri"/>
      <scheme val="minor"/>
    </font>
    <font>
      <sz val="8"/>
      <name val="Arial"/>
      <family val="2"/>
    </font>
    <font>
      <b/>
      <sz val="20"/>
      <name val="Arial"/>
      <family val="2"/>
    </font>
    <font>
      <sz val="11"/>
      <name val="Quicksand"/>
    </font>
    <font>
      <b/>
      <sz val="11"/>
      <name val="Quicksand"/>
    </font>
    <font>
      <b/>
      <sz val="14"/>
      <name val="Arial"/>
      <family val="2"/>
    </font>
    <font>
      <u/>
      <sz val="10"/>
      <name val="Arial"/>
      <family val="2"/>
    </font>
    <font>
      <sz val="10"/>
      <color theme="1"/>
      <name val="Arial"/>
    </font>
  </fonts>
  <fills count="10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indexed="64"/>
      </top>
      <bottom/>
      <diagonal/>
    </border>
    <border>
      <left/>
      <right style="thin">
        <color theme="0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8" fillId="0" borderId="0"/>
    <xf numFmtId="0" fontId="29" fillId="0" borderId="0"/>
  </cellStyleXfs>
  <cellXfs count="168">
    <xf numFmtId="0" fontId="0" fillId="0" borderId="0" xfId="0"/>
    <xf numFmtId="0" fontId="1" fillId="0" borderId="1" xfId="0" applyFont="1" applyBorder="1"/>
    <xf numFmtId="0" fontId="0" fillId="0" borderId="1" xfId="0" applyBorder="1"/>
    <xf numFmtId="0" fontId="4" fillId="0" borderId="0" xfId="0" applyFont="1"/>
    <xf numFmtId="0" fontId="5" fillId="0" borderId="1" xfId="0" applyFont="1" applyBorder="1" applyAlignment="1">
      <alignment horizontal="left" vertical="center"/>
    </xf>
    <xf numFmtId="0" fontId="6" fillId="2" borderId="1" xfId="0" applyFont="1" applyFill="1" applyBorder="1"/>
    <xf numFmtId="0" fontId="7" fillId="2" borderId="1" xfId="0" applyFont="1" applyFill="1" applyBorder="1"/>
    <xf numFmtId="0" fontId="6" fillId="2" borderId="1" xfId="0" applyFont="1" applyFill="1" applyBorder="1" applyAlignment="1">
      <alignment horizontal="right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8" fillId="0" borderId="0" xfId="1"/>
    <xf numFmtId="0" fontId="8" fillId="0" borderId="0" xfId="1" applyAlignment="1">
      <alignment horizontal="center"/>
    </xf>
    <xf numFmtId="0" fontId="8" fillId="0" borderId="0" xfId="1" applyAlignment="1">
      <alignment horizontal="right"/>
    </xf>
    <xf numFmtId="0" fontId="8" fillId="0" borderId="1" xfId="1" applyBorder="1" applyAlignment="1">
      <alignment horizontal="center"/>
    </xf>
    <xf numFmtId="0" fontId="9" fillId="0" borderId="1" xfId="1" applyFont="1" applyBorder="1" applyAlignment="1">
      <alignment horizontal="right"/>
    </xf>
    <xf numFmtId="0" fontId="8" fillId="0" borderId="4" xfId="1" applyBorder="1" applyAlignment="1">
      <alignment horizontal="center"/>
    </xf>
    <xf numFmtId="0" fontId="9" fillId="0" borderId="4" xfId="1" applyFont="1" applyBorder="1" applyAlignment="1">
      <alignment horizontal="right"/>
    </xf>
    <xf numFmtId="0" fontId="8" fillId="0" borderId="1" xfId="1" applyBorder="1"/>
    <xf numFmtId="0" fontId="10" fillId="3" borderId="5" xfId="1" applyFont="1" applyFill="1" applyBorder="1" applyAlignment="1">
      <alignment horizontal="center"/>
    </xf>
    <xf numFmtId="0" fontId="8" fillId="0" borderId="4" xfId="1" applyBorder="1"/>
    <xf numFmtId="2" fontId="8" fillId="0" borderId="1" xfId="1" applyNumberFormat="1" applyBorder="1" applyAlignment="1">
      <alignment horizontal="center"/>
    </xf>
    <xf numFmtId="0" fontId="9" fillId="0" borderId="1" xfId="1" applyFont="1" applyBorder="1"/>
    <xf numFmtId="0" fontId="9" fillId="0" borderId="4" xfId="1" applyFont="1" applyBorder="1"/>
    <xf numFmtId="2" fontId="8" fillId="0" borderId="4" xfId="1" applyNumberFormat="1" applyBorder="1" applyAlignment="1">
      <alignment horizontal="center"/>
    </xf>
    <xf numFmtId="0" fontId="12" fillId="0" borderId="0" xfId="1" applyFont="1"/>
    <xf numFmtId="0" fontId="15" fillId="0" borderId="0" xfId="1" applyFont="1"/>
    <xf numFmtId="0" fontId="11" fillId="0" borderId="0" xfId="1" applyFont="1"/>
    <xf numFmtId="0" fontId="0" fillId="4" borderId="0" xfId="0" applyFill="1"/>
    <xf numFmtId="0" fontId="18" fillId="0" borderId="0" xfId="0" applyFont="1"/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right"/>
    </xf>
    <xf numFmtId="0" fontId="1" fillId="0" borderId="2" xfId="0" applyFont="1" applyBorder="1" applyAlignment="1">
      <alignment horizontal="right"/>
    </xf>
    <xf numFmtId="0" fontId="10" fillId="3" borderId="11" xfId="1" applyFont="1" applyFill="1" applyBorder="1" applyAlignment="1">
      <alignment horizontal="center"/>
    </xf>
    <xf numFmtId="0" fontId="22" fillId="0" borderId="15" xfId="1" applyFont="1" applyBorder="1"/>
    <xf numFmtId="0" fontId="22" fillId="0" borderId="18" xfId="1" applyFont="1" applyBorder="1"/>
    <xf numFmtId="0" fontId="22" fillId="0" borderId="12" xfId="1" applyFont="1" applyBorder="1"/>
    <xf numFmtId="0" fontId="22" fillId="5" borderId="12" xfId="1" applyFont="1" applyFill="1" applyBorder="1"/>
    <xf numFmtId="0" fontId="22" fillId="5" borderId="15" xfId="1" applyFont="1" applyFill="1" applyBorder="1"/>
    <xf numFmtId="0" fontId="21" fillId="5" borderId="21" xfId="1" applyFont="1" applyFill="1" applyBorder="1"/>
    <xf numFmtId="0" fontId="8" fillId="5" borderId="18" xfId="1" applyFill="1" applyBorder="1"/>
    <xf numFmtId="0" fontId="7" fillId="2" borderId="2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right"/>
    </xf>
    <xf numFmtId="0" fontId="0" fillId="6" borderId="1" xfId="0" applyFill="1" applyBorder="1"/>
    <xf numFmtId="9" fontId="23" fillId="6" borderId="1" xfId="0" applyNumberFormat="1" applyFont="1" applyFill="1" applyBorder="1"/>
    <xf numFmtId="0" fontId="23" fillId="6" borderId="1" xfId="0" applyFont="1" applyFill="1" applyBorder="1" applyAlignment="1">
      <alignment horizontal="center"/>
    </xf>
    <xf numFmtId="0" fontId="23" fillId="6" borderId="2" xfId="0" applyFont="1" applyFill="1" applyBorder="1" applyAlignment="1">
      <alignment horizontal="center"/>
    </xf>
    <xf numFmtId="0" fontId="0" fillId="0" borderId="0" xfId="0" applyAlignment="1">
      <alignment horizontal="right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right"/>
    </xf>
    <xf numFmtId="0" fontId="1" fillId="0" borderId="0" xfId="0" applyFont="1"/>
    <xf numFmtId="0" fontId="25" fillId="0" borderId="0" xfId="0" applyFont="1" applyAlignment="1">
      <alignment vertical="center"/>
    </xf>
    <xf numFmtId="0" fontId="25" fillId="0" borderId="0" xfId="0" applyFont="1" applyAlignment="1">
      <alignment horizontal="center" vertical="center"/>
    </xf>
    <xf numFmtId="0" fontId="26" fillId="0" borderId="0" xfId="0" applyFont="1"/>
    <xf numFmtId="0" fontId="17" fillId="7" borderId="1" xfId="0" applyFont="1" applyFill="1" applyBorder="1" applyAlignment="1">
      <alignment horizontal="center" vertical="center"/>
    </xf>
    <xf numFmtId="0" fontId="17" fillId="7" borderId="24" xfId="0" applyFont="1" applyFill="1" applyBorder="1" applyAlignment="1">
      <alignment horizontal="center" vertical="center"/>
    </xf>
    <xf numFmtId="0" fontId="25" fillId="8" borderId="0" xfId="0" applyFont="1" applyFill="1" applyAlignment="1">
      <alignment vertical="center"/>
    </xf>
    <xf numFmtId="0" fontId="1" fillId="8" borderId="1" xfId="0" applyFont="1" applyFill="1" applyBorder="1"/>
    <xf numFmtId="0" fontId="24" fillId="0" borderId="1" xfId="0" applyFont="1" applyBorder="1"/>
    <xf numFmtId="0" fontId="27" fillId="9" borderId="0" xfId="0" applyFont="1" applyFill="1"/>
    <xf numFmtId="0" fontId="0" fillId="9" borderId="0" xfId="0" applyFill="1"/>
    <xf numFmtId="0" fontId="28" fillId="4" borderId="0" xfId="0" applyFont="1" applyFill="1"/>
    <xf numFmtId="164" fontId="0" fillId="0" borderId="1" xfId="0" applyNumberFormat="1" applyBorder="1"/>
    <xf numFmtId="2" fontId="8" fillId="0" borderId="1" xfId="1" applyNumberFormat="1" applyBorder="1"/>
    <xf numFmtId="1" fontId="8" fillId="0" borderId="4" xfId="1" applyNumberFormat="1" applyBorder="1"/>
    <xf numFmtId="1" fontId="8" fillId="0" borderId="1" xfId="1" applyNumberFormat="1" applyBorder="1"/>
    <xf numFmtId="166" fontId="0" fillId="0" borderId="1" xfId="0" applyNumberFormat="1" applyBorder="1"/>
    <xf numFmtId="164" fontId="0" fillId="0" borderId="1" xfId="0" applyNumberFormat="1" applyBorder="1" applyAlignment="1">
      <alignment wrapText="1"/>
    </xf>
    <xf numFmtId="10" fontId="0" fillId="0" borderId="1" xfId="0" applyNumberFormat="1" applyBorder="1"/>
    <xf numFmtId="10" fontId="1" fillId="6" borderId="1" xfId="0" applyNumberFormat="1" applyFont="1" applyFill="1" applyBorder="1"/>
    <xf numFmtId="10" fontId="0" fillId="6" borderId="1" xfId="0" applyNumberFormat="1" applyFill="1" applyBorder="1"/>
    <xf numFmtId="2" fontId="8" fillId="0" borderId="4" xfId="1" applyNumberFormat="1" applyBorder="1"/>
    <xf numFmtId="0" fontId="29" fillId="0" borderId="0" xfId="2"/>
    <xf numFmtId="0" fontId="32" fillId="0" borderId="25" xfId="1" applyFont="1" applyBorder="1" applyAlignment="1">
      <alignment horizontal="center" vertical="center" wrapText="1"/>
    </xf>
    <xf numFmtId="0" fontId="32" fillId="0" borderId="17" xfId="1" applyFont="1" applyBorder="1" applyAlignment="1">
      <alignment horizontal="center" vertical="center" wrapText="1"/>
    </xf>
    <xf numFmtId="0" fontId="32" fillId="0" borderId="16" xfId="1" applyFont="1" applyBorder="1" applyAlignment="1">
      <alignment horizontal="center" vertical="center" wrapText="1"/>
    </xf>
    <xf numFmtId="0" fontId="33" fillId="0" borderId="31" xfId="1" applyFont="1" applyBorder="1" applyAlignment="1">
      <alignment horizontal="center" vertical="center" wrapText="1"/>
    </xf>
    <xf numFmtId="0" fontId="33" fillId="0" borderId="32" xfId="1" applyFont="1" applyBorder="1" applyAlignment="1">
      <alignment horizontal="center" vertical="center" wrapText="1"/>
    </xf>
    <xf numFmtId="0" fontId="33" fillId="0" borderId="33" xfId="1" applyFont="1" applyBorder="1" applyAlignment="1">
      <alignment horizontal="center" vertical="center" wrapText="1"/>
    </xf>
    <xf numFmtId="0" fontId="8" fillId="0" borderId="30" xfId="1" applyBorder="1"/>
    <xf numFmtId="0" fontId="9" fillId="0" borderId="1" xfId="1" applyFont="1" applyBorder="1" applyAlignment="1">
      <alignment horizontal="center" vertical="center"/>
    </xf>
    <xf numFmtId="0" fontId="8" fillId="0" borderId="1" xfId="1" applyBorder="1" applyAlignment="1">
      <alignment horizontal="center" vertical="center"/>
    </xf>
    <xf numFmtId="167" fontId="8" fillId="0" borderId="1" xfId="1" applyNumberFormat="1" applyBorder="1"/>
    <xf numFmtId="0" fontId="9" fillId="0" borderId="1" xfId="1" applyFont="1" applyBorder="1" applyAlignment="1">
      <alignment horizontal="center"/>
    </xf>
    <xf numFmtId="167" fontId="9" fillId="0" borderId="1" xfId="1" applyNumberFormat="1" applyFont="1" applyBorder="1"/>
    <xf numFmtId="0" fontId="35" fillId="0" borderId="0" xfId="1" applyFont="1"/>
    <xf numFmtId="14" fontId="8" fillId="0" borderId="4" xfId="1" applyNumberFormat="1" applyBorder="1" applyAlignment="1">
      <alignment horizontal="right"/>
    </xf>
    <xf numFmtId="164" fontId="0" fillId="0" borderId="0" xfId="0" applyNumberFormat="1"/>
    <xf numFmtId="2" fontId="8" fillId="0" borderId="24" xfId="1" applyNumberFormat="1" applyBorder="1" applyAlignment="1">
      <alignment horizontal="center"/>
    </xf>
    <xf numFmtId="2" fontId="8" fillId="0" borderId="0" xfId="1" applyNumberFormat="1" applyAlignment="1">
      <alignment horizontal="center"/>
    </xf>
    <xf numFmtId="0" fontId="8" fillId="0" borderId="2" xfId="1" applyBorder="1" applyAlignment="1">
      <alignment horizontal="center"/>
    </xf>
    <xf numFmtId="168" fontId="36" fillId="0" borderId="36" xfId="0" applyNumberFormat="1" applyFont="1" applyBorder="1" applyAlignment="1">
      <alignment horizontal="center"/>
    </xf>
    <xf numFmtId="168" fontId="11" fillId="3" borderId="5" xfId="1" applyNumberFormat="1" applyFont="1" applyFill="1" applyBorder="1"/>
    <xf numFmtId="164" fontId="0" fillId="0" borderId="1" xfId="0" applyNumberFormat="1" applyBorder="1"/>
    <xf numFmtId="0" fontId="7" fillId="2" borderId="6" xfId="0" applyFont="1" applyFill="1" applyBorder="1" applyAlignment="1">
      <alignment horizontal="center" vertical="center" wrapText="1"/>
    </xf>
    <xf numFmtId="0" fontId="7" fillId="2" borderId="0" xfId="0" applyFont="1" applyFill="1" applyAlignment="1">
      <alignment horizontal="center" vertical="center" wrapText="1"/>
    </xf>
    <xf numFmtId="0" fontId="7" fillId="2" borderId="23" xfId="0" applyFont="1" applyFill="1" applyBorder="1" applyAlignment="1">
      <alignment horizontal="center" vertical="center" wrapText="1"/>
    </xf>
    <xf numFmtId="164" fontId="0" fillId="0" borderId="6" xfId="0" applyNumberFormat="1" applyBorder="1" applyAlignment="1">
      <alignment horizontal="center"/>
    </xf>
    <xf numFmtId="0" fontId="0" fillId="0" borderId="37" xfId="0" applyBorder="1" applyAlignment="1">
      <alignment horizontal="center"/>
    </xf>
    <xf numFmtId="0" fontId="3" fillId="0" borderId="0" xfId="0" applyFont="1" applyAlignment="1">
      <alignment horizontal="center"/>
    </xf>
    <xf numFmtId="164" fontId="23" fillId="6" borderId="1" xfId="0" applyNumberFormat="1" applyFont="1" applyFill="1" applyBorder="1" applyAlignment="1">
      <alignment horizontal="center"/>
    </xf>
    <xf numFmtId="0" fontId="22" fillId="6" borderId="1" xfId="0" applyFont="1" applyFill="1" applyBorder="1" applyAlignment="1">
      <alignment horizontal="right"/>
    </xf>
    <xf numFmtId="0" fontId="22" fillId="6" borderId="2" xfId="0" applyFont="1" applyFill="1" applyBorder="1" applyAlignment="1">
      <alignment horizontal="right"/>
    </xf>
    <xf numFmtId="0" fontId="22" fillId="6" borderId="3" xfId="0" applyFont="1" applyFill="1" applyBorder="1" applyAlignment="1">
      <alignment horizontal="right"/>
    </xf>
    <xf numFmtId="0" fontId="7" fillId="2" borderId="2" xfId="0" applyFont="1" applyFill="1" applyBorder="1" applyAlignment="1">
      <alignment horizontal="center" wrapText="1"/>
    </xf>
    <xf numFmtId="0" fontId="7" fillId="2" borderId="3" xfId="0" applyFont="1" applyFill="1" applyBorder="1" applyAlignment="1">
      <alignment horizontal="center" wrapText="1"/>
    </xf>
    <xf numFmtId="0" fontId="2" fillId="0" borderId="0" xfId="0" applyFont="1" applyAlignment="1">
      <alignment horizontal="center"/>
    </xf>
    <xf numFmtId="164" fontId="1" fillId="0" borderId="2" xfId="0" applyNumberFormat="1" applyFont="1" applyBorder="1"/>
    <xf numFmtId="164" fontId="1" fillId="0" borderId="3" xfId="0" applyNumberFormat="1" applyFont="1" applyBorder="1"/>
    <xf numFmtId="0" fontId="7" fillId="2" borderId="2" xfId="0" applyFont="1" applyFill="1" applyBorder="1" applyAlignment="1">
      <alignment horizontal="center" vertical="center" wrapText="1"/>
    </xf>
    <xf numFmtId="0" fontId="7" fillId="2" borderId="8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wrapText="1"/>
    </xf>
    <xf numFmtId="0" fontId="6" fillId="2" borderId="1" xfId="0" applyFont="1" applyFill="1" applyBorder="1" applyAlignment="1">
      <alignment horizontal="center" vertical="center" wrapText="1"/>
    </xf>
    <xf numFmtId="0" fontId="22" fillId="5" borderId="0" xfId="1" applyFont="1" applyFill="1"/>
    <xf numFmtId="0" fontId="22" fillId="5" borderId="22" xfId="1" applyFont="1" applyFill="1" applyBorder="1"/>
    <xf numFmtId="0" fontId="22" fillId="5" borderId="19" xfId="1" applyFont="1" applyFill="1" applyBorder="1"/>
    <xf numFmtId="0" fontId="22" fillId="5" borderId="20" xfId="1" applyFont="1" applyFill="1" applyBorder="1"/>
    <xf numFmtId="0" fontId="22" fillId="5" borderId="13" xfId="1" applyFont="1" applyFill="1" applyBorder="1"/>
    <xf numFmtId="0" fontId="22" fillId="5" borderId="14" xfId="1" applyFont="1" applyFill="1" applyBorder="1"/>
    <xf numFmtId="0" fontId="22" fillId="0" borderId="13" xfId="1" applyFont="1" applyBorder="1"/>
    <xf numFmtId="0" fontId="22" fillId="0" borderId="14" xfId="1" applyFont="1" applyBorder="1"/>
    <xf numFmtId="0" fontId="22" fillId="5" borderId="16" xfId="1" applyFont="1" applyFill="1" applyBorder="1"/>
    <xf numFmtId="0" fontId="22" fillId="5" borderId="17" xfId="1" applyFont="1" applyFill="1" applyBorder="1"/>
    <xf numFmtId="0" fontId="22" fillId="0" borderId="16" xfId="1" applyFont="1" applyBorder="1"/>
    <xf numFmtId="0" fontId="22" fillId="0" borderId="17" xfId="1" applyFont="1" applyBorder="1"/>
    <xf numFmtId="0" fontId="22" fillId="0" borderId="19" xfId="1" applyFont="1" applyBorder="1"/>
    <xf numFmtId="0" fontId="22" fillId="0" borderId="20" xfId="1" applyFont="1" applyBorder="1"/>
    <xf numFmtId="0" fontId="16" fillId="3" borderId="0" xfId="1" applyFont="1" applyFill="1" applyAlignment="1">
      <alignment horizontal="center"/>
    </xf>
    <xf numFmtId="165" fontId="13" fillId="3" borderId="0" xfId="1" applyNumberFormat="1" applyFont="1" applyFill="1" applyAlignment="1">
      <alignment horizontal="center"/>
    </xf>
    <xf numFmtId="0" fontId="12" fillId="0" borderId="0" xfId="1" applyFont="1" applyAlignment="1">
      <alignment horizontal="center"/>
    </xf>
    <xf numFmtId="0" fontId="10" fillId="3" borderId="5" xfId="1" applyFont="1" applyFill="1" applyBorder="1" applyAlignment="1">
      <alignment horizontal="center"/>
    </xf>
    <xf numFmtId="0" fontId="10" fillId="3" borderId="5" xfId="1" applyFont="1" applyFill="1" applyBorder="1" applyAlignment="1">
      <alignment horizontal="center" wrapText="1"/>
    </xf>
    <xf numFmtId="0" fontId="9" fillId="0" borderId="6" xfId="1" applyFont="1" applyBorder="1" applyAlignment="1">
      <alignment horizontal="right"/>
    </xf>
    <xf numFmtId="0" fontId="9" fillId="0" borderId="7" xfId="1" applyFont="1" applyBorder="1" applyAlignment="1">
      <alignment horizontal="right"/>
    </xf>
    <xf numFmtId="0" fontId="14" fillId="3" borderId="0" xfId="1" applyFont="1" applyFill="1" applyAlignment="1">
      <alignment horizontal="center"/>
    </xf>
    <xf numFmtId="0" fontId="10" fillId="3" borderId="9" xfId="1" applyFont="1" applyFill="1" applyBorder="1" applyAlignment="1">
      <alignment horizontal="center"/>
    </xf>
    <xf numFmtId="0" fontId="10" fillId="3" borderId="10" xfId="1" applyFont="1" applyFill="1" applyBorder="1" applyAlignment="1">
      <alignment horizontal="center"/>
    </xf>
    <xf numFmtId="0" fontId="1" fillId="7" borderId="23" xfId="0" applyFont="1" applyFill="1" applyBorder="1" applyAlignment="1">
      <alignment horizontal="center"/>
    </xf>
    <xf numFmtId="0" fontId="1" fillId="7" borderId="0" xfId="0" applyFont="1" applyFill="1" applyAlignment="1">
      <alignment horizontal="left"/>
    </xf>
    <xf numFmtId="0" fontId="8" fillId="0" borderId="2" xfId="1" applyBorder="1" applyAlignment="1">
      <alignment horizontal="left" vertical="center"/>
    </xf>
    <xf numFmtId="0" fontId="8" fillId="0" borderId="8" xfId="1" applyBorder="1" applyAlignment="1">
      <alignment horizontal="left" vertical="center"/>
    </xf>
    <xf numFmtId="0" fontId="8" fillId="0" borderId="3" xfId="1" applyBorder="1" applyAlignment="1">
      <alignment horizontal="left" vertical="center"/>
    </xf>
    <xf numFmtId="0" fontId="8" fillId="0" borderId="6" xfId="1" applyBorder="1" applyAlignment="1">
      <alignment horizontal="center"/>
    </xf>
    <xf numFmtId="0" fontId="31" fillId="0" borderId="0" xfId="1" applyFont="1" applyAlignment="1">
      <alignment horizontal="center"/>
    </xf>
    <xf numFmtId="0" fontId="9" fillId="0" borderId="28" xfId="1" applyFont="1" applyBorder="1" applyAlignment="1">
      <alignment horizontal="center" vertical="center" textRotation="255"/>
    </xf>
    <xf numFmtId="0" fontId="9" fillId="0" borderId="30" xfId="1" applyFont="1" applyBorder="1" applyAlignment="1">
      <alignment horizontal="center" vertical="center" textRotation="255"/>
    </xf>
    <xf numFmtId="0" fontId="9" fillId="0" borderId="29" xfId="1" applyFont="1" applyBorder="1" applyAlignment="1">
      <alignment horizontal="center" vertical="center" textRotation="255"/>
    </xf>
    <xf numFmtId="0" fontId="9" fillId="0" borderId="34" xfId="1" applyFont="1" applyBorder="1" applyAlignment="1">
      <alignment horizontal="center" vertical="center" textRotation="255"/>
    </xf>
    <xf numFmtId="0" fontId="9" fillId="0" borderId="35" xfId="1" applyFont="1" applyBorder="1" applyAlignment="1">
      <alignment horizontal="center" vertical="center" textRotation="255"/>
    </xf>
    <xf numFmtId="0" fontId="34" fillId="0" borderId="2" xfId="1" applyFont="1" applyBorder="1" applyAlignment="1">
      <alignment horizontal="center"/>
    </xf>
    <xf numFmtId="0" fontId="34" fillId="0" borderId="8" xfId="1" applyFont="1" applyBorder="1" applyAlignment="1">
      <alignment horizontal="center"/>
    </xf>
    <xf numFmtId="0" fontId="30" fillId="0" borderId="25" xfId="2" applyFont="1" applyBorder="1" applyAlignment="1">
      <alignment vertical="top" wrapText="1"/>
    </xf>
    <xf numFmtId="0" fontId="30" fillId="0" borderId="26" xfId="2" applyFont="1" applyBorder="1" applyAlignment="1">
      <alignment vertical="top" wrapText="1"/>
    </xf>
    <xf numFmtId="0" fontId="30" fillId="0" borderId="27" xfId="2" applyFont="1" applyBorder="1" applyAlignment="1">
      <alignment vertical="top" wrapText="1"/>
    </xf>
    <xf numFmtId="0" fontId="22" fillId="0" borderId="15" xfId="2" applyFont="1" applyBorder="1" applyAlignment="1">
      <alignment horizontal="center" vertical="center" wrapText="1"/>
    </xf>
    <xf numFmtId="0" fontId="22" fillId="0" borderId="16" xfId="2" applyFont="1" applyBorder="1" applyAlignment="1">
      <alignment horizontal="center" vertical="center" wrapText="1"/>
    </xf>
    <xf numFmtId="0" fontId="22" fillId="0" borderId="17" xfId="2" applyFont="1" applyBorder="1" applyAlignment="1">
      <alignment horizontal="center" vertical="center" wrapText="1"/>
    </xf>
    <xf numFmtId="0" fontId="30" fillId="0" borderId="18" xfId="2" applyFont="1" applyBorder="1" applyAlignment="1">
      <alignment horizontal="center" vertical="center" wrapText="1"/>
    </xf>
    <xf numFmtId="0" fontId="30" fillId="0" borderId="19" xfId="2" applyFont="1" applyBorder="1" applyAlignment="1">
      <alignment horizontal="center" vertical="center" wrapText="1"/>
    </xf>
    <xf numFmtId="0" fontId="30" fillId="0" borderId="20" xfId="2" applyFont="1" applyBorder="1" applyAlignment="1">
      <alignment horizontal="center" vertical="center" wrapText="1"/>
    </xf>
    <xf numFmtId="0" fontId="22" fillId="0" borderId="18" xfId="2" applyFont="1" applyBorder="1" applyAlignment="1">
      <alignment horizontal="center" vertical="center" wrapText="1"/>
    </xf>
    <xf numFmtId="0" fontId="22" fillId="0" borderId="19" xfId="2" applyFont="1" applyBorder="1" applyAlignment="1">
      <alignment horizontal="center" vertical="center" wrapText="1"/>
    </xf>
    <xf numFmtId="0" fontId="22" fillId="0" borderId="20" xfId="2" applyFont="1" applyBorder="1" applyAlignment="1">
      <alignment horizontal="center" vertical="center" wrapText="1"/>
    </xf>
    <xf numFmtId="0" fontId="30" fillId="0" borderId="12" xfId="2" applyFont="1" applyBorder="1" applyAlignment="1">
      <alignment horizontal="center" vertical="center" wrapText="1"/>
    </xf>
    <xf numFmtId="0" fontId="30" fillId="0" borderId="14" xfId="2" applyFont="1" applyBorder="1" applyAlignment="1">
      <alignment horizontal="center" vertical="center" wrapText="1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estadisticas!$B$5</c:f>
              <c:strCache>
                <c:ptCount val="1"/>
                <c:pt idx="0">
                  <c:v>Salario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estadisticas!$A$6:$A$11</c:f>
              <c:strCache>
                <c:ptCount val="6"/>
                <c:pt idx="0">
                  <c:v>Solteros</c:v>
                </c:pt>
                <c:pt idx="1">
                  <c:v>Viudos</c:v>
                </c:pt>
                <c:pt idx="2">
                  <c:v>Casados</c:v>
                </c:pt>
                <c:pt idx="3">
                  <c:v>Divorciados</c:v>
                </c:pt>
                <c:pt idx="4">
                  <c:v>Separados</c:v>
                </c:pt>
                <c:pt idx="5">
                  <c:v>Unión Libre</c:v>
                </c:pt>
              </c:strCache>
            </c:strRef>
          </c:cat>
          <c:val>
            <c:numRef>
              <c:f>estadisticas!$B$6:$B$11</c:f>
              <c:numCache>
                <c:formatCode>"$"\ #,##0</c:formatCode>
                <c:ptCount val="6"/>
                <c:pt idx="0">
                  <c:v>2994600</c:v>
                </c:pt>
                <c:pt idx="1">
                  <c:v>1624310.6039236113</c:v>
                </c:pt>
                <c:pt idx="2">
                  <c:v>2056015.2689962119</c:v>
                </c:pt>
                <c:pt idx="3">
                  <c:v>0</c:v>
                </c:pt>
                <c:pt idx="4">
                  <c:v>1708300.1152083334</c:v>
                </c:pt>
                <c:pt idx="5">
                  <c:v>1763522.9427083335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AA-4D87-950B-E953739A98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2601023"/>
        <c:axId val="2125624399"/>
      </c:barChart>
      <c:catAx>
        <c:axId val="2082601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25624399"/>
        <c:crosses val="autoZero"/>
        <c:auto val="1"/>
        <c:lblAlgn val="ctr"/>
        <c:lblOffset val="100"/>
        <c:noMultiLvlLbl val="0"/>
      </c:catAx>
      <c:valAx>
        <c:axId val="2125624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\ 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826010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estadisticas!$E$5</c:f>
              <c:strCache>
                <c:ptCount val="1"/>
                <c:pt idx="0">
                  <c:v>Horas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estadisticas!$D$6:$D$7</c:f>
              <c:strCache>
                <c:ptCount val="2"/>
                <c:pt idx="0">
                  <c:v>Total Horas Mujeres</c:v>
                </c:pt>
                <c:pt idx="1">
                  <c:v>Total Horas Hombres</c:v>
                </c:pt>
              </c:strCache>
            </c:strRef>
          </c:cat>
          <c:val>
            <c:numRef>
              <c:f>estadisticas!$E$6:$E$7</c:f>
              <c:numCache>
                <c:formatCode>General</c:formatCode>
                <c:ptCount val="2"/>
                <c:pt idx="0">
                  <c:v>61</c:v>
                </c:pt>
                <c:pt idx="1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DE-47E9-9848-71F2A43602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7604191"/>
        <c:axId val="2082603935"/>
      </c:barChart>
      <c:catAx>
        <c:axId val="197604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82603935"/>
        <c:crosses val="autoZero"/>
        <c:auto val="1"/>
        <c:lblAlgn val="ctr"/>
        <c:lblOffset val="100"/>
        <c:noMultiLvlLbl val="0"/>
      </c:catAx>
      <c:valAx>
        <c:axId val="2082603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76041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estadisticas!$H$5</c:f>
              <c:strCache>
                <c:ptCount val="1"/>
                <c:pt idx="0">
                  <c:v>Cantidad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estadisticas!$G$6:$G$7</c:f>
              <c:strCache>
                <c:ptCount val="2"/>
                <c:pt idx="0">
                  <c:v>Reciben Auxilio Transporte</c:v>
                </c:pt>
                <c:pt idx="1">
                  <c:v>No Reciben Auxilio de Transporte</c:v>
                </c:pt>
              </c:strCache>
            </c:strRef>
          </c:cat>
          <c:val>
            <c:numRef>
              <c:f>estadisticas!$H$6:$H$7</c:f>
              <c:numCache>
                <c:formatCode>General</c:formatCode>
                <c:ptCount val="2"/>
                <c:pt idx="0">
                  <c:v>27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A0-4795-B773-9B81410048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615935"/>
        <c:axId val="40607199"/>
      </c:barChart>
      <c:catAx>
        <c:axId val="40615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0607199"/>
        <c:crosses val="autoZero"/>
        <c:auto val="1"/>
        <c:lblAlgn val="ctr"/>
        <c:lblOffset val="100"/>
        <c:noMultiLvlLbl val="0"/>
      </c:catAx>
      <c:valAx>
        <c:axId val="40607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0615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Mayor</a:t>
            </a:r>
            <a:r>
              <a:rPr lang="es-CO" baseline="0"/>
              <a:t> y menor edad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estadisticas!$D$10:$D$11</c:f>
              <c:strCache>
                <c:ptCount val="2"/>
                <c:pt idx="0">
                  <c:v>Edad Mayor</c:v>
                </c:pt>
                <c:pt idx="1">
                  <c:v>Edad Menor</c:v>
                </c:pt>
              </c:strCache>
            </c:strRef>
          </c:cat>
          <c:val>
            <c:numRef>
              <c:f>estadisticas!$E$10:$E$11</c:f>
              <c:numCache>
                <c:formatCode>General</c:formatCode>
                <c:ptCount val="2"/>
                <c:pt idx="0">
                  <c:v>68</c:v>
                </c:pt>
                <c:pt idx="1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5C-475D-B792-9F2FE238F6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613023"/>
        <c:axId val="40617183"/>
      </c:barChart>
      <c:catAx>
        <c:axId val="40613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0617183"/>
        <c:crosses val="autoZero"/>
        <c:auto val="1"/>
        <c:lblAlgn val="ctr"/>
        <c:lblOffset val="100"/>
        <c:noMultiLvlLbl val="0"/>
      </c:catAx>
      <c:valAx>
        <c:axId val="40617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06130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estadisticas!$H$13</c:f>
              <c:strCache>
                <c:ptCount val="1"/>
                <c:pt idx="0">
                  <c:v>Extras Prom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estadisticas!$G$14:$G$19</c:f>
              <c:strCache>
                <c:ptCount val="6"/>
                <c:pt idx="0">
                  <c:v>Marketing </c:v>
                </c:pt>
                <c:pt idx="1">
                  <c:v>Gestión Financiera</c:v>
                </c:pt>
                <c:pt idx="2">
                  <c:v>Gestión Administrativa</c:v>
                </c:pt>
                <c:pt idx="3">
                  <c:v>Gestión Del Talento Humano</c:v>
                </c:pt>
                <c:pt idx="4">
                  <c:v>Gestión De La Producción</c:v>
                </c:pt>
                <c:pt idx="5">
                  <c:v>Gestión De La Calidad</c:v>
                </c:pt>
              </c:strCache>
            </c:strRef>
          </c:cat>
          <c:val>
            <c:numRef>
              <c:f>estadisticas!$H$14:$H$19</c:f>
              <c:numCache>
                <c:formatCode>"$"\ #,##0</c:formatCode>
                <c:ptCount val="6"/>
                <c:pt idx="0">
                  <c:v>69083.333333333343</c:v>
                </c:pt>
                <c:pt idx="1">
                  <c:v>46449.179166666669</c:v>
                </c:pt>
                <c:pt idx="2">
                  <c:v>60441.492708333339</c:v>
                </c:pt>
                <c:pt idx="3">
                  <c:v>67059.016666666677</c:v>
                </c:pt>
                <c:pt idx="4">
                  <c:v>24509.390625</c:v>
                </c:pt>
                <c:pt idx="5">
                  <c:v>86507.8125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69-4E19-824D-4F4016A4B3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611775"/>
        <c:axId val="40612191"/>
      </c:barChart>
      <c:catAx>
        <c:axId val="40611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0612191"/>
        <c:crosses val="autoZero"/>
        <c:auto val="1"/>
        <c:lblAlgn val="ctr"/>
        <c:lblOffset val="100"/>
        <c:noMultiLvlLbl val="0"/>
      </c:catAx>
      <c:valAx>
        <c:axId val="40612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\ 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06117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estadisticas!$K$5</c:f>
              <c:strCache>
                <c:ptCount val="1"/>
                <c:pt idx="0">
                  <c:v>Edad Promedio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estadisticas!$J$6:$J$11</c:f>
              <c:strCache>
                <c:ptCount val="6"/>
                <c:pt idx="0">
                  <c:v>Solteros</c:v>
                </c:pt>
                <c:pt idx="1">
                  <c:v>Viudos</c:v>
                </c:pt>
                <c:pt idx="2">
                  <c:v>Casados</c:v>
                </c:pt>
                <c:pt idx="3">
                  <c:v>Divorciados</c:v>
                </c:pt>
                <c:pt idx="4">
                  <c:v>Separados</c:v>
                </c:pt>
                <c:pt idx="5">
                  <c:v>Unión Libre</c:v>
                </c:pt>
              </c:strCache>
            </c:strRef>
          </c:cat>
          <c:val>
            <c:numRef>
              <c:f>estadisticas!$K$6:$K$11</c:f>
              <c:numCache>
                <c:formatCode>General</c:formatCode>
                <c:ptCount val="6"/>
                <c:pt idx="0">
                  <c:v>49</c:v>
                </c:pt>
                <c:pt idx="1">
                  <c:v>40</c:v>
                </c:pt>
                <c:pt idx="2">
                  <c:v>45</c:v>
                </c:pt>
                <c:pt idx="3">
                  <c:v>0</c:v>
                </c:pt>
                <c:pt idx="4">
                  <c:v>43</c:v>
                </c:pt>
                <c:pt idx="5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37-46DD-B33A-006DAC9ADF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7602527"/>
        <c:axId val="197603359"/>
      </c:barChart>
      <c:catAx>
        <c:axId val="197602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7603359"/>
        <c:crosses val="autoZero"/>
        <c:auto val="1"/>
        <c:lblAlgn val="ctr"/>
        <c:lblOffset val="100"/>
        <c:noMultiLvlLbl val="0"/>
      </c:catAx>
      <c:valAx>
        <c:axId val="197603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76025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PROMEDIO</a:t>
            </a:r>
            <a:r>
              <a:rPr lang="es-CO" baseline="0"/>
              <a:t> DE ESTATURA SEGUN PESO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alumnos!$K$21:$K$25</c:f>
              <c:strCache>
                <c:ptCount val="5"/>
                <c:pt idx="0">
                  <c:v>Promedio de Estatura Según ESTADO</c:v>
                </c:pt>
                <c:pt idx="2">
                  <c:v>Sobrepeso</c:v>
                </c:pt>
                <c:pt idx="3">
                  <c:v>Normal</c:v>
                </c:pt>
                <c:pt idx="4">
                  <c:v>Falta Peso</c:v>
                </c:pt>
              </c:strCache>
            </c:strRef>
          </c:cat>
          <c:val>
            <c:numRef>
              <c:f>alumnos!$L$21:$L$25</c:f>
              <c:numCache>
                <c:formatCode>General</c:formatCode>
                <c:ptCount val="5"/>
                <c:pt idx="2" formatCode="0.00">
                  <c:v>1.4042857142857144</c:v>
                </c:pt>
                <c:pt idx="3" formatCode="0.00">
                  <c:v>1.4756521739130435</c:v>
                </c:pt>
                <c:pt idx="4" formatCode="0.00">
                  <c:v>1.4780000000000002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A8-417A-8659-7A7C386C2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650928"/>
        <c:axId val="221679824"/>
      </c:barChart>
      <c:catAx>
        <c:axId val="50650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21679824"/>
        <c:crosses val="autoZero"/>
        <c:auto val="1"/>
        <c:lblAlgn val="ctr"/>
        <c:lblOffset val="100"/>
        <c:noMultiLvlLbl val="0"/>
      </c:catAx>
      <c:valAx>
        <c:axId val="22167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0650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CANTIDAD</a:t>
            </a:r>
            <a:r>
              <a:rPr lang="es-CO" baseline="0"/>
              <a:t> DE ALUMNOS SEGUN ESTATURA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alumnos!$E$44:$E$47</c:f>
              <c:strCache>
                <c:ptCount val="4"/>
                <c:pt idx="0">
                  <c:v>CANTIDAD DE ALUMNOS SEGÚN LA ESTATURA</c:v>
                </c:pt>
                <c:pt idx="2">
                  <c:v>Más de 1,50</c:v>
                </c:pt>
                <c:pt idx="3">
                  <c:v>Hasta 1,50</c:v>
                </c:pt>
              </c:strCache>
            </c:strRef>
          </c:cat>
          <c:val>
            <c:numRef>
              <c:f>alumnos!$F$44:$F$47</c:f>
              <c:numCache>
                <c:formatCode>General</c:formatCode>
                <c:ptCount val="4"/>
                <c:pt idx="2">
                  <c:v>12</c:v>
                </c:pt>
                <c:pt idx="3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A1-4389-9A47-F21E575D87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136320"/>
        <c:axId val="212826608"/>
      </c:barChart>
      <c:catAx>
        <c:axId val="51136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2826608"/>
        <c:crosses val="autoZero"/>
        <c:auto val="1"/>
        <c:lblAlgn val="ctr"/>
        <c:lblOffset val="100"/>
        <c:noMultiLvlLbl val="0"/>
      </c:catAx>
      <c:valAx>
        <c:axId val="21282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1136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alumnos!$C$44:$C$45</c:f>
              <c:strCache>
                <c:ptCount val="2"/>
                <c:pt idx="0">
                  <c:v>CANTIDAD DE ALUMNOS SEGÚN ESTADO</c:v>
                </c:pt>
                <c:pt idx="1">
                  <c:v>Cantidad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alumnos!$B$46:$B$48</c:f>
              <c:strCache>
                <c:ptCount val="3"/>
                <c:pt idx="0">
                  <c:v>Falta Peso</c:v>
                </c:pt>
                <c:pt idx="1">
                  <c:v>Normal</c:v>
                </c:pt>
                <c:pt idx="2">
                  <c:v>Sobrepeso</c:v>
                </c:pt>
              </c:strCache>
            </c:strRef>
          </c:cat>
          <c:val>
            <c:numRef>
              <c:f>alumnos!$C$46:$C$48</c:f>
              <c:numCache>
                <c:formatCode>General</c:formatCode>
                <c:ptCount val="3"/>
                <c:pt idx="0">
                  <c:v>5</c:v>
                </c:pt>
                <c:pt idx="1">
                  <c:v>23</c:v>
                </c:pt>
                <c:pt idx="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9E-45A6-9ED8-2D03E353AD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8368960"/>
        <c:axId val="221621872"/>
      </c:barChart>
      <c:catAx>
        <c:axId val="228368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21621872"/>
        <c:crosses val="autoZero"/>
        <c:auto val="1"/>
        <c:lblAlgn val="ctr"/>
        <c:lblOffset val="100"/>
        <c:noMultiLvlLbl val="0"/>
      </c:catAx>
      <c:valAx>
        <c:axId val="22162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28368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95250</xdr:rowOff>
    </xdr:from>
    <xdr:to>
      <xdr:col>2</xdr:col>
      <xdr:colOff>0</xdr:colOff>
      <xdr:row>21</xdr:row>
      <xdr:rowOff>4762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9525</xdr:colOff>
      <xdr:row>11</xdr:row>
      <xdr:rowOff>180975</xdr:rowOff>
    </xdr:from>
    <xdr:to>
      <xdr:col>4</xdr:col>
      <xdr:colOff>542925</xdr:colOff>
      <xdr:row>19</xdr:row>
      <xdr:rowOff>52387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659209</xdr:colOff>
      <xdr:row>20</xdr:row>
      <xdr:rowOff>29368</xdr:rowOff>
    </xdr:from>
    <xdr:to>
      <xdr:col>5</xdr:col>
      <xdr:colOff>283368</xdr:colOff>
      <xdr:row>27</xdr:row>
      <xdr:rowOff>34131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260748</xdr:colOff>
      <xdr:row>21</xdr:row>
      <xdr:rowOff>119459</xdr:rowOff>
    </xdr:from>
    <xdr:to>
      <xdr:col>1</xdr:col>
      <xdr:colOff>1349375</xdr:colOff>
      <xdr:row>26</xdr:row>
      <xdr:rowOff>181372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419100</xdr:colOff>
      <xdr:row>20</xdr:row>
      <xdr:rowOff>138112</xdr:rowOff>
    </xdr:from>
    <xdr:to>
      <xdr:col>7</xdr:col>
      <xdr:colOff>647700</xdr:colOff>
      <xdr:row>29</xdr:row>
      <xdr:rowOff>85725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342899</xdr:colOff>
      <xdr:row>11</xdr:row>
      <xdr:rowOff>152400</xdr:rowOff>
    </xdr:from>
    <xdr:to>
      <xdr:col>11</xdr:col>
      <xdr:colOff>400049</xdr:colOff>
      <xdr:row>20</xdr:row>
      <xdr:rowOff>80962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296532</xdr:colOff>
      <xdr:row>25</xdr:row>
      <xdr:rowOff>161744</xdr:rowOff>
    </xdr:from>
    <xdr:to>
      <xdr:col>13</xdr:col>
      <xdr:colOff>593066</xdr:colOff>
      <xdr:row>35</xdr:row>
      <xdr:rowOff>152759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818E860-E2A0-BB19-0818-24C482C198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143773</xdr:colOff>
      <xdr:row>42</xdr:row>
      <xdr:rowOff>125800</xdr:rowOff>
    </xdr:from>
    <xdr:to>
      <xdr:col>10</xdr:col>
      <xdr:colOff>224645</xdr:colOff>
      <xdr:row>50</xdr:row>
      <xdr:rowOff>8985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9FA63F6-0901-F865-74BA-8BA556344C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341462</xdr:colOff>
      <xdr:row>42</xdr:row>
      <xdr:rowOff>71886</xdr:rowOff>
    </xdr:from>
    <xdr:to>
      <xdr:col>14</xdr:col>
      <xdr:colOff>196789</xdr:colOff>
      <xdr:row>49</xdr:row>
      <xdr:rowOff>145030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1720BF5-61CD-AC58-C975-A97724CE88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0</xdr:col>
      <xdr:colOff>895349</xdr:colOff>
      <xdr:row>5</xdr:row>
      <xdr:rowOff>114300</xdr:rowOff>
    </xdr:to>
    <xdr:pic>
      <xdr:nvPicPr>
        <xdr:cNvPr id="2" name="Imagen 1" descr="Descripción: D:\GESTIÓN ACADÉMICA TÉCNICOS\Logo_POLICOLOMBIA_2017.png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"/>
          <a:ext cx="761999" cy="866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topLeftCell="A4" zoomScale="130" zoomScaleNormal="130" workbookViewId="0">
      <selection activeCell="H6" sqref="H6"/>
    </sheetView>
  </sheetViews>
  <sheetFormatPr baseColWidth="10" defaultRowHeight="15"/>
  <cols>
    <col min="1" max="1" width="3.7109375" style="51" customWidth="1"/>
  </cols>
  <sheetData>
    <row r="1" spans="1:5">
      <c r="A1" s="51" t="s">
        <v>224</v>
      </c>
      <c r="E1" s="51" t="s">
        <v>241</v>
      </c>
    </row>
    <row r="2" spans="1:5">
      <c r="A2" s="51">
        <v>1</v>
      </c>
      <c r="B2" t="s">
        <v>225</v>
      </c>
    </row>
    <row r="3" spans="1:5">
      <c r="B3" t="s">
        <v>226</v>
      </c>
    </row>
    <row r="4" spans="1:5">
      <c r="A4" s="51">
        <v>2</v>
      </c>
      <c r="B4" t="s">
        <v>228</v>
      </c>
    </row>
    <row r="5" spans="1:5">
      <c r="A5" s="51">
        <v>3</v>
      </c>
      <c r="B5" t="s">
        <v>229</v>
      </c>
    </row>
    <row r="6" spans="1:5">
      <c r="A6" s="51">
        <v>4</v>
      </c>
      <c r="B6" t="s">
        <v>227</v>
      </c>
    </row>
    <row r="7" spans="1:5">
      <c r="A7" s="51">
        <v>5</v>
      </c>
      <c r="B7" t="s">
        <v>230</v>
      </c>
    </row>
    <row r="8" spans="1:5">
      <c r="A8" s="51">
        <v>6</v>
      </c>
      <c r="B8" t="s">
        <v>231</v>
      </c>
    </row>
    <row r="9" spans="1:5">
      <c r="B9" t="s">
        <v>232</v>
      </c>
    </row>
    <row r="12" spans="1:5">
      <c r="A12" s="51" t="s">
        <v>233</v>
      </c>
    </row>
    <row r="13" spans="1:5">
      <c r="A13" s="51" t="s">
        <v>239</v>
      </c>
      <c r="B13" s="51" t="s">
        <v>234</v>
      </c>
    </row>
    <row r="14" spans="1:5">
      <c r="A14" s="51" t="s">
        <v>239</v>
      </c>
      <c r="B14" s="51" t="s">
        <v>235</v>
      </c>
    </row>
    <row r="15" spans="1:5">
      <c r="A15" s="51" t="s">
        <v>239</v>
      </c>
      <c r="B15" s="51" t="s">
        <v>236</v>
      </c>
    </row>
    <row r="16" spans="1:5">
      <c r="A16" s="51" t="s">
        <v>239</v>
      </c>
      <c r="B16" s="51" t="s">
        <v>237</v>
      </c>
    </row>
    <row r="17" spans="1:2">
      <c r="A17" s="51" t="s">
        <v>239</v>
      </c>
      <c r="B17" s="51" t="s">
        <v>238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52"/>
  <sheetViews>
    <sheetView topLeftCell="D2" zoomScaleNormal="100" workbookViewId="0">
      <selection activeCell="B46" sqref="B46:C46"/>
    </sheetView>
  </sheetViews>
  <sheetFormatPr baseColWidth="10" defaultRowHeight="15"/>
  <cols>
    <col min="1" max="1" width="33.42578125" bestFit="1" customWidth="1"/>
    <col min="2" max="2" width="5.5703125" bestFit="1" customWidth="1"/>
    <col min="3" max="3" width="13.7109375" customWidth="1"/>
    <col min="4" max="4" width="26.7109375" bestFit="1" customWidth="1"/>
    <col min="5" max="5" width="16.140625" customWidth="1"/>
    <col min="6" max="6" width="6.140625" customWidth="1"/>
    <col min="7" max="7" width="14.42578125" customWidth="1"/>
    <col min="8" max="8" width="14.5703125" customWidth="1"/>
    <col min="9" max="9" width="18.140625" customWidth="1"/>
    <col min="10" max="10" width="14.5703125" customWidth="1"/>
    <col min="11" max="11" width="14.28515625" customWidth="1"/>
    <col min="12" max="12" width="17.42578125" customWidth="1"/>
    <col min="13" max="13" width="15.28515625" customWidth="1"/>
    <col min="14" max="14" width="18" customWidth="1"/>
  </cols>
  <sheetData>
    <row r="1" spans="1:22" ht="31.5">
      <c r="A1" s="100" t="s">
        <v>19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</row>
    <row r="2" spans="1:22">
      <c r="A2" s="28" t="s">
        <v>223</v>
      </c>
    </row>
    <row r="3" spans="1:22">
      <c r="A3" s="7" t="s">
        <v>0</v>
      </c>
      <c r="B3" s="101">
        <v>1300000</v>
      </c>
      <c r="C3" s="101"/>
      <c r="H3" s="6" t="s">
        <v>17</v>
      </c>
      <c r="I3" s="44">
        <v>0.08</v>
      </c>
    </row>
    <row r="4" spans="1:22">
      <c r="A4" s="7" t="s">
        <v>1</v>
      </c>
      <c r="B4" s="101">
        <v>162000</v>
      </c>
      <c r="C4" s="101"/>
    </row>
    <row r="6" spans="1:22" ht="33.75" customHeight="1">
      <c r="A6" s="8" t="s">
        <v>2</v>
      </c>
      <c r="B6" s="8" t="s">
        <v>6</v>
      </c>
      <c r="C6" s="9" t="s">
        <v>7</v>
      </c>
      <c r="D6" s="9" t="s">
        <v>158</v>
      </c>
      <c r="E6" s="9" t="s">
        <v>63</v>
      </c>
      <c r="F6" s="8" t="s">
        <v>69</v>
      </c>
      <c r="G6" s="9" t="s">
        <v>32</v>
      </c>
      <c r="H6" s="9" t="s">
        <v>31</v>
      </c>
      <c r="I6" s="9" t="s">
        <v>70</v>
      </c>
      <c r="J6" s="9" t="s">
        <v>145</v>
      </c>
      <c r="K6" s="9" t="s">
        <v>3</v>
      </c>
      <c r="L6" s="9" t="s">
        <v>4</v>
      </c>
      <c r="M6" s="9" t="s">
        <v>5</v>
      </c>
      <c r="N6" s="9" t="s">
        <v>18</v>
      </c>
    </row>
    <row r="7" spans="1:22" ht="18.75" customHeight="1">
      <c r="A7" s="4" t="s">
        <v>33</v>
      </c>
      <c r="B7" s="2" t="s">
        <v>8</v>
      </c>
      <c r="C7" s="2" t="s">
        <v>64</v>
      </c>
      <c r="D7" s="2" t="s">
        <v>159</v>
      </c>
      <c r="E7" s="67">
        <v>27445</v>
      </c>
      <c r="F7" s="2">
        <f ca="1">DATEDIF(E7,TODAY(),"Y")</f>
        <v>49</v>
      </c>
      <c r="G7" s="63">
        <v>3255000</v>
      </c>
      <c r="H7" s="2">
        <v>0</v>
      </c>
      <c r="I7" s="63">
        <f>(G7/240)*125%</f>
        <v>16953.125</v>
      </c>
      <c r="J7" s="63">
        <f>I7*H7</f>
        <v>0</v>
      </c>
      <c r="K7" s="2">
        <f>IF(G7&gt;$B$3*2,0,$B$4)</f>
        <v>0</v>
      </c>
      <c r="L7" s="63">
        <f>(G7+J7)*$I$3</f>
        <v>260400</v>
      </c>
      <c r="M7" s="63">
        <f>G7+J7+K7-L7</f>
        <v>2994600</v>
      </c>
      <c r="N7" s="63">
        <f>IF(H7&gt;=5,J7+J7*30%,J7+J7*15%)</f>
        <v>0</v>
      </c>
      <c r="P7" s="29"/>
      <c r="Q7" s="29"/>
      <c r="R7" s="29"/>
      <c r="S7" s="29"/>
      <c r="T7" s="30"/>
      <c r="U7" s="29"/>
      <c r="V7" s="29"/>
    </row>
    <row r="8" spans="1:22">
      <c r="A8" s="4" t="s">
        <v>34</v>
      </c>
      <c r="B8" s="2" t="s">
        <v>8</v>
      </c>
      <c r="C8" s="2" t="s">
        <v>65</v>
      </c>
      <c r="D8" s="2" t="s">
        <v>160</v>
      </c>
      <c r="E8" s="67">
        <v>33237</v>
      </c>
      <c r="F8" s="2">
        <f t="shared" ref="F8:F36" ca="1" si="0">DATEDIF(E8,TODAY(),"Y")</f>
        <v>33</v>
      </c>
      <c r="G8" s="63">
        <v>1120000</v>
      </c>
      <c r="H8" s="2">
        <v>11</v>
      </c>
      <c r="I8" s="63">
        <f t="shared" ref="I8:I37" si="1">(G8/240)*125%</f>
        <v>5833.3333333333339</v>
      </c>
      <c r="J8" s="63">
        <f t="shared" ref="J8:J37" si="2">I8*H8</f>
        <v>64166.666666666672</v>
      </c>
      <c r="K8" s="2">
        <f t="shared" ref="K8:K36" si="3">IF(G8&gt;$B$3*2,0,$B$4)</f>
        <v>162000</v>
      </c>
      <c r="L8" s="63">
        <f t="shared" ref="L8:L36" si="4">(G8+J8)*$I$3</f>
        <v>94733.333333333343</v>
      </c>
      <c r="M8" s="63">
        <f t="shared" ref="M8:M36" si="5">G8+J8+K8-L8</f>
        <v>1251433.3333333335</v>
      </c>
      <c r="N8" s="63">
        <f t="shared" ref="N8:N36" si="6">IF(H8&gt;=5,J8+J8*30%,J8+J8*15%)</f>
        <v>83416.666666666672</v>
      </c>
    </row>
    <row r="9" spans="1:22">
      <c r="A9" s="4" t="s">
        <v>35</v>
      </c>
      <c r="B9" s="2" t="s">
        <v>9</v>
      </c>
      <c r="C9" s="2" t="s">
        <v>66</v>
      </c>
      <c r="D9" s="2" t="s">
        <v>161</v>
      </c>
      <c r="E9" s="67">
        <v>28764</v>
      </c>
      <c r="F9" s="2">
        <f t="shared" ca="1" si="0"/>
        <v>45</v>
      </c>
      <c r="G9" s="63">
        <v>2320500</v>
      </c>
      <c r="H9" s="2">
        <v>7</v>
      </c>
      <c r="I9" s="63">
        <f t="shared" si="1"/>
        <v>12085.9375</v>
      </c>
      <c r="J9" s="63">
        <f t="shared" si="2"/>
        <v>84601.5625</v>
      </c>
      <c r="K9" s="2">
        <f t="shared" si="3"/>
        <v>162000</v>
      </c>
      <c r="L9" s="63">
        <f t="shared" si="4"/>
        <v>192408.125</v>
      </c>
      <c r="M9" s="63">
        <f t="shared" si="5"/>
        <v>2374693.4375</v>
      </c>
      <c r="N9" s="63">
        <f t="shared" si="6"/>
        <v>109982.03125</v>
      </c>
    </row>
    <row r="10" spans="1:22">
      <c r="A10" s="4" t="s">
        <v>36</v>
      </c>
      <c r="B10" s="2" t="s">
        <v>8</v>
      </c>
      <c r="C10" s="2" t="s">
        <v>67</v>
      </c>
      <c r="D10" s="2" t="s">
        <v>162</v>
      </c>
      <c r="E10" s="67">
        <v>31887</v>
      </c>
      <c r="F10" s="2">
        <f t="shared" ca="1" si="0"/>
        <v>36</v>
      </c>
      <c r="G10" s="63">
        <v>1200000</v>
      </c>
      <c r="H10" s="2">
        <v>3</v>
      </c>
      <c r="I10" s="63">
        <f t="shared" si="1"/>
        <v>6250</v>
      </c>
      <c r="J10" s="63">
        <f t="shared" si="2"/>
        <v>18750</v>
      </c>
      <c r="K10" s="2">
        <f t="shared" si="3"/>
        <v>162000</v>
      </c>
      <c r="L10" s="63">
        <f t="shared" si="4"/>
        <v>97500</v>
      </c>
      <c r="M10" s="63">
        <f t="shared" si="5"/>
        <v>1283250</v>
      </c>
      <c r="N10" s="63">
        <f t="shared" si="6"/>
        <v>21562.5</v>
      </c>
    </row>
    <row r="11" spans="1:22">
      <c r="A11" s="4" t="s">
        <v>37</v>
      </c>
      <c r="B11" s="2" t="s">
        <v>8</v>
      </c>
      <c r="C11" s="2" t="s">
        <v>65</v>
      </c>
      <c r="D11" s="2" t="s">
        <v>163</v>
      </c>
      <c r="E11" s="67">
        <v>33237</v>
      </c>
      <c r="F11" s="2">
        <f t="shared" ca="1" si="0"/>
        <v>33</v>
      </c>
      <c r="G11" s="63">
        <v>1097803</v>
      </c>
      <c r="H11" s="2">
        <v>5</v>
      </c>
      <c r="I11" s="63">
        <f t="shared" si="1"/>
        <v>5717.7239583333339</v>
      </c>
      <c r="J11" s="63">
        <f t="shared" si="2"/>
        <v>28588.619791666672</v>
      </c>
      <c r="K11" s="2">
        <f t="shared" si="3"/>
        <v>162000</v>
      </c>
      <c r="L11" s="63">
        <f t="shared" si="4"/>
        <v>90111.32958333334</v>
      </c>
      <c r="M11" s="63">
        <f t="shared" si="5"/>
        <v>1198280.2902083334</v>
      </c>
      <c r="N11" s="63">
        <f t="shared" si="6"/>
        <v>37165.205729166672</v>
      </c>
    </row>
    <row r="12" spans="1:22">
      <c r="A12" s="4" t="s">
        <v>38</v>
      </c>
      <c r="B12" s="2" t="s">
        <v>8</v>
      </c>
      <c r="C12" s="2" t="s">
        <v>68</v>
      </c>
      <c r="D12" s="2" t="s">
        <v>164</v>
      </c>
      <c r="E12" s="67">
        <v>28764</v>
      </c>
      <c r="F12" s="2">
        <f t="shared" ca="1" si="0"/>
        <v>45</v>
      </c>
      <c r="G12" s="63">
        <v>2320500</v>
      </c>
      <c r="H12" s="2">
        <v>15</v>
      </c>
      <c r="I12" s="63">
        <f t="shared" si="1"/>
        <v>12085.9375</v>
      </c>
      <c r="J12" s="63">
        <f t="shared" si="2"/>
        <v>181289.0625</v>
      </c>
      <c r="K12" s="2">
        <f t="shared" si="3"/>
        <v>162000</v>
      </c>
      <c r="L12" s="63">
        <f t="shared" si="4"/>
        <v>200143.125</v>
      </c>
      <c r="M12" s="63">
        <f t="shared" si="5"/>
        <v>2463645.9375</v>
      </c>
      <c r="N12" s="63">
        <f t="shared" si="6"/>
        <v>235675.78125</v>
      </c>
    </row>
    <row r="13" spans="1:22">
      <c r="A13" s="4" t="s">
        <v>39</v>
      </c>
      <c r="B13" s="2" t="s">
        <v>8</v>
      </c>
      <c r="C13" s="2" t="s">
        <v>68</v>
      </c>
      <c r="D13" s="2" t="s">
        <v>159</v>
      </c>
      <c r="E13" s="67">
        <v>32167</v>
      </c>
      <c r="F13" s="2">
        <f t="shared" ca="1" si="0"/>
        <v>36</v>
      </c>
      <c r="G13" s="63">
        <v>1820000</v>
      </c>
      <c r="H13" s="2">
        <v>7</v>
      </c>
      <c r="I13" s="63">
        <f t="shared" si="1"/>
        <v>9479.1666666666661</v>
      </c>
      <c r="J13" s="63">
        <f t="shared" si="2"/>
        <v>66354.166666666657</v>
      </c>
      <c r="K13" s="2">
        <f t="shared" si="3"/>
        <v>162000</v>
      </c>
      <c r="L13" s="63">
        <f t="shared" si="4"/>
        <v>150908.33333333334</v>
      </c>
      <c r="M13" s="63">
        <f t="shared" si="5"/>
        <v>1897445.8333333335</v>
      </c>
      <c r="N13" s="63">
        <f t="shared" si="6"/>
        <v>86260.416666666657</v>
      </c>
    </row>
    <row r="14" spans="1:22">
      <c r="A14" s="4" t="s">
        <v>40</v>
      </c>
      <c r="B14" s="2" t="s">
        <v>9</v>
      </c>
      <c r="C14" s="2" t="s">
        <v>67</v>
      </c>
      <c r="D14" s="2" t="s">
        <v>160</v>
      </c>
      <c r="E14" s="67">
        <v>32168</v>
      </c>
      <c r="F14" s="2">
        <f t="shared" ca="1" si="0"/>
        <v>36</v>
      </c>
      <c r="G14" s="63">
        <v>1920000</v>
      </c>
      <c r="H14" s="2">
        <v>4</v>
      </c>
      <c r="I14" s="63">
        <f t="shared" si="1"/>
        <v>10000</v>
      </c>
      <c r="J14" s="63">
        <f t="shared" si="2"/>
        <v>40000</v>
      </c>
      <c r="K14" s="2">
        <f t="shared" si="3"/>
        <v>162000</v>
      </c>
      <c r="L14" s="63">
        <f t="shared" si="4"/>
        <v>156800</v>
      </c>
      <c r="M14" s="63">
        <f t="shared" si="5"/>
        <v>1965200</v>
      </c>
      <c r="N14" s="63">
        <f t="shared" si="6"/>
        <v>46000</v>
      </c>
    </row>
    <row r="15" spans="1:22">
      <c r="A15" s="4" t="s">
        <v>41</v>
      </c>
      <c r="B15" s="2" t="s">
        <v>9</v>
      </c>
      <c r="C15" s="2" t="s">
        <v>66</v>
      </c>
      <c r="D15" s="2" t="s">
        <v>161</v>
      </c>
      <c r="E15" s="67">
        <v>32350</v>
      </c>
      <c r="F15" s="2">
        <f t="shared" ca="1" si="0"/>
        <v>35</v>
      </c>
      <c r="G15" s="63">
        <v>1420000</v>
      </c>
      <c r="H15" s="2">
        <v>4</v>
      </c>
      <c r="I15" s="63">
        <f t="shared" si="1"/>
        <v>7395.8333333333339</v>
      </c>
      <c r="J15" s="63">
        <f t="shared" si="2"/>
        <v>29583.333333333336</v>
      </c>
      <c r="K15" s="2">
        <f t="shared" si="3"/>
        <v>162000</v>
      </c>
      <c r="L15" s="63">
        <f t="shared" si="4"/>
        <v>115966.66666666666</v>
      </c>
      <c r="M15" s="63">
        <f t="shared" si="5"/>
        <v>1495616.6666666665</v>
      </c>
      <c r="N15" s="63">
        <f t="shared" si="6"/>
        <v>34020.833333333336</v>
      </c>
    </row>
    <row r="16" spans="1:22">
      <c r="A16" s="4" t="s">
        <v>42</v>
      </c>
      <c r="B16" s="2" t="s">
        <v>8</v>
      </c>
      <c r="C16" s="2" t="s">
        <v>67</v>
      </c>
      <c r="D16" s="2" t="s">
        <v>162</v>
      </c>
      <c r="E16" s="67">
        <v>29238</v>
      </c>
      <c r="F16" s="2">
        <f t="shared" ca="1" si="0"/>
        <v>44</v>
      </c>
      <c r="G16" s="63">
        <v>1098888</v>
      </c>
      <c r="H16" s="2">
        <v>12</v>
      </c>
      <c r="I16" s="63">
        <f t="shared" si="1"/>
        <v>5723.375</v>
      </c>
      <c r="J16" s="63">
        <f t="shared" si="2"/>
        <v>68680.5</v>
      </c>
      <c r="K16" s="2">
        <f t="shared" si="3"/>
        <v>162000</v>
      </c>
      <c r="L16" s="63">
        <f t="shared" si="4"/>
        <v>93405.48</v>
      </c>
      <c r="M16" s="63">
        <f t="shared" si="5"/>
        <v>1236163.02</v>
      </c>
      <c r="N16" s="63">
        <f t="shared" si="6"/>
        <v>89284.65</v>
      </c>
    </row>
    <row r="17" spans="1:14">
      <c r="A17" s="4" t="s">
        <v>43</v>
      </c>
      <c r="B17" s="2" t="s">
        <v>9</v>
      </c>
      <c r="C17" s="2" t="s">
        <v>67</v>
      </c>
      <c r="D17" s="2" t="s">
        <v>163</v>
      </c>
      <c r="E17" s="67">
        <v>31208</v>
      </c>
      <c r="F17" s="2">
        <f t="shared" ca="1" si="0"/>
        <v>38</v>
      </c>
      <c r="G17" s="63">
        <v>1870000</v>
      </c>
      <c r="H17" s="2">
        <v>4</v>
      </c>
      <c r="I17" s="63">
        <f t="shared" si="1"/>
        <v>9739.5833333333339</v>
      </c>
      <c r="J17" s="63">
        <f t="shared" si="2"/>
        <v>38958.333333333336</v>
      </c>
      <c r="K17" s="2">
        <f t="shared" si="3"/>
        <v>162000</v>
      </c>
      <c r="L17" s="63">
        <f t="shared" si="4"/>
        <v>152716.66666666666</v>
      </c>
      <c r="M17" s="63">
        <f t="shared" si="5"/>
        <v>1918241.6666666665</v>
      </c>
      <c r="N17" s="63">
        <f t="shared" si="6"/>
        <v>44802.083333333336</v>
      </c>
    </row>
    <row r="18" spans="1:14">
      <c r="A18" s="4" t="s">
        <v>44</v>
      </c>
      <c r="B18" s="2" t="s">
        <v>9</v>
      </c>
      <c r="C18" s="2" t="s">
        <v>66</v>
      </c>
      <c r="D18" s="2" t="s">
        <v>164</v>
      </c>
      <c r="E18" s="67">
        <v>30502</v>
      </c>
      <c r="F18" s="2">
        <f t="shared" ca="1" si="0"/>
        <v>40</v>
      </c>
      <c r="G18" s="63">
        <v>1120000</v>
      </c>
      <c r="H18" s="2">
        <v>11</v>
      </c>
      <c r="I18" s="63">
        <f t="shared" si="1"/>
        <v>5833.3333333333339</v>
      </c>
      <c r="J18" s="63">
        <f t="shared" si="2"/>
        <v>64166.666666666672</v>
      </c>
      <c r="K18" s="2">
        <f t="shared" si="3"/>
        <v>162000</v>
      </c>
      <c r="L18" s="63">
        <f t="shared" si="4"/>
        <v>94733.333333333343</v>
      </c>
      <c r="M18" s="63">
        <f t="shared" si="5"/>
        <v>1251433.3333333335</v>
      </c>
      <c r="N18" s="63">
        <f t="shared" si="6"/>
        <v>83416.666666666672</v>
      </c>
    </row>
    <row r="19" spans="1:14">
      <c r="A19" s="4" t="s">
        <v>45</v>
      </c>
      <c r="B19" s="2" t="s">
        <v>9</v>
      </c>
      <c r="C19" s="2" t="s">
        <v>65</v>
      </c>
      <c r="D19" s="2" t="s">
        <v>159</v>
      </c>
      <c r="E19" s="67">
        <v>30503</v>
      </c>
      <c r="F19" s="2">
        <f t="shared" ca="1" si="0"/>
        <v>40</v>
      </c>
      <c r="G19" s="63">
        <v>2330000</v>
      </c>
      <c r="H19" s="2">
        <v>2</v>
      </c>
      <c r="I19" s="63">
        <f t="shared" si="1"/>
        <v>12135.416666666668</v>
      </c>
      <c r="J19" s="63">
        <f t="shared" si="2"/>
        <v>24270.833333333336</v>
      </c>
      <c r="K19" s="2">
        <f t="shared" si="3"/>
        <v>162000</v>
      </c>
      <c r="L19" s="63">
        <f t="shared" si="4"/>
        <v>188341.66666666669</v>
      </c>
      <c r="M19" s="63">
        <f t="shared" si="5"/>
        <v>2327929.166666667</v>
      </c>
      <c r="N19" s="63">
        <f t="shared" si="6"/>
        <v>27911.458333333336</v>
      </c>
    </row>
    <row r="20" spans="1:14">
      <c r="A20" s="4" t="s">
        <v>46</v>
      </c>
      <c r="B20" s="2" t="s">
        <v>8</v>
      </c>
      <c r="C20" s="2" t="s">
        <v>66</v>
      </c>
      <c r="D20" s="2" t="s">
        <v>160</v>
      </c>
      <c r="E20" s="67">
        <v>30504</v>
      </c>
      <c r="F20" s="2">
        <f t="shared" ca="1" si="0"/>
        <v>40</v>
      </c>
      <c r="G20" s="63">
        <v>1570000</v>
      </c>
      <c r="H20" s="2">
        <v>4</v>
      </c>
      <c r="I20" s="63">
        <f t="shared" si="1"/>
        <v>8177.0833333333339</v>
      </c>
      <c r="J20" s="63">
        <f t="shared" si="2"/>
        <v>32708.333333333336</v>
      </c>
      <c r="K20" s="2">
        <f t="shared" si="3"/>
        <v>162000</v>
      </c>
      <c r="L20" s="63">
        <f t="shared" si="4"/>
        <v>128216.66666666666</v>
      </c>
      <c r="M20" s="63">
        <f t="shared" si="5"/>
        <v>1636491.6666666665</v>
      </c>
      <c r="N20" s="63">
        <f t="shared" si="6"/>
        <v>37614.583333333336</v>
      </c>
    </row>
    <row r="21" spans="1:14">
      <c r="A21" s="4" t="s">
        <v>47</v>
      </c>
      <c r="B21" s="2" t="s">
        <v>9</v>
      </c>
      <c r="C21" s="2" t="s">
        <v>67</v>
      </c>
      <c r="D21" s="2" t="s">
        <v>161</v>
      </c>
      <c r="E21" s="67">
        <v>30212</v>
      </c>
      <c r="F21" s="2">
        <f t="shared" ca="1" si="0"/>
        <v>41</v>
      </c>
      <c r="G21" s="63">
        <v>2320500</v>
      </c>
      <c r="H21" s="2">
        <v>9</v>
      </c>
      <c r="I21" s="63">
        <f t="shared" si="1"/>
        <v>12085.9375</v>
      </c>
      <c r="J21" s="63">
        <f t="shared" si="2"/>
        <v>108773.4375</v>
      </c>
      <c r="K21" s="2">
        <f t="shared" si="3"/>
        <v>162000</v>
      </c>
      <c r="L21" s="63">
        <f t="shared" si="4"/>
        <v>194341.875</v>
      </c>
      <c r="M21" s="63">
        <f t="shared" si="5"/>
        <v>2396931.5625</v>
      </c>
      <c r="N21" s="63">
        <f t="shared" si="6"/>
        <v>141405.46875</v>
      </c>
    </row>
    <row r="22" spans="1:14">
      <c r="A22" s="4" t="s">
        <v>48</v>
      </c>
      <c r="B22" s="2" t="s">
        <v>8</v>
      </c>
      <c r="C22" s="2" t="s">
        <v>65</v>
      </c>
      <c r="D22" s="2" t="s">
        <v>162</v>
      </c>
      <c r="E22" s="67">
        <v>28326</v>
      </c>
      <c r="F22" s="2">
        <f t="shared" ca="1" si="0"/>
        <v>46</v>
      </c>
      <c r="G22" s="63">
        <v>1720000</v>
      </c>
      <c r="H22" s="2">
        <v>8</v>
      </c>
      <c r="I22" s="63">
        <f t="shared" si="1"/>
        <v>8958.3333333333339</v>
      </c>
      <c r="J22" s="63">
        <f t="shared" si="2"/>
        <v>71666.666666666672</v>
      </c>
      <c r="K22" s="2">
        <f t="shared" si="3"/>
        <v>162000</v>
      </c>
      <c r="L22" s="63">
        <f t="shared" si="4"/>
        <v>143333.33333333334</v>
      </c>
      <c r="M22" s="63">
        <f t="shared" si="5"/>
        <v>1810333.3333333335</v>
      </c>
      <c r="N22" s="63">
        <f t="shared" si="6"/>
        <v>93166.666666666672</v>
      </c>
    </row>
    <row r="23" spans="1:14">
      <c r="A23" s="4" t="s">
        <v>49</v>
      </c>
      <c r="B23" s="2" t="s">
        <v>8</v>
      </c>
      <c r="C23" s="2" t="s">
        <v>68</v>
      </c>
      <c r="D23" s="2" t="s">
        <v>163</v>
      </c>
      <c r="E23" s="67">
        <v>32751</v>
      </c>
      <c r="F23" s="2">
        <f t="shared" ca="1" si="0"/>
        <v>34</v>
      </c>
      <c r="G23" s="63">
        <v>1420000</v>
      </c>
      <c r="H23" s="2">
        <v>0</v>
      </c>
      <c r="I23" s="63">
        <f t="shared" si="1"/>
        <v>7395.8333333333339</v>
      </c>
      <c r="J23" s="63">
        <f t="shared" si="2"/>
        <v>0</v>
      </c>
      <c r="K23" s="2">
        <f t="shared" si="3"/>
        <v>162000</v>
      </c>
      <c r="L23" s="63">
        <f t="shared" si="4"/>
        <v>113600</v>
      </c>
      <c r="M23" s="63">
        <f t="shared" si="5"/>
        <v>1468400</v>
      </c>
      <c r="N23" s="63">
        <f t="shared" si="6"/>
        <v>0</v>
      </c>
    </row>
    <row r="24" spans="1:14">
      <c r="A24" s="4" t="s">
        <v>50</v>
      </c>
      <c r="B24" s="2" t="s">
        <v>8</v>
      </c>
      <c r="C24" s="2" t="s">
        <v>68</v>
      </c>
      <c r="D24" s="2" t="s">
        <v>164</v>
      </c>
      <c r="E24" s="67">
        <v>26679</v>
      </c>
      <c r="F24" s="2">
        <f t="shared" ca="1" si="0"/>
        <v>51</v>
      </c>
      <c r="G24" s="63">
        <v>1120000</v>
      </c>
      <c r="H24" s="2">
        <v>6</v>
      </c>
      <c r="I24" s="63">
        <f t="shared" si="1"/>
        <v>5833.3333333333339</v>
      </c>
      <c r="J24" s="63">
        <f t="shared" si="2"/>
        <v>35000</v>
      </c>
      <c r="K24" s="2">
        <f t="shared" si="3"/>
        <v>162000</v>
      </c>
      <c r="L24" s="63">
        <f t="shared" si="4"/>
        <v>92400</v>
      </c>
      <c r="M24" s="63">
        <f t="shared" si="5"/>
        <v>1224600</v>
      </c>
      <c r="N24" s="63">
        <f t="shared" si="6"/>
        <v>45500</v>
      </c>
    </row>
    <row r="25" spans="1:14">
      <c r="A25" s="4" t="s">
        <v>51</v>
      </c>
      <c r="B25" s="2" t="s">
        <v>8</v>
      </c>
      <c r="C25" s="2" t="s">
        <v>67</v>
      </c>
      <c r="D25" s="2" t="s">
        <v>159</v>
      </c>
      <c r="E25" s="67">
        <v>29449</v>
      </c>
      <c r="F25" s="2">
        <f t="shared" ca="1" si="0"/>
        <v>43</v>
      </c>
      <c r="G25" s="63">
        <v>2320000</v>
      </c>
      <c r="H25" s="2">
        <v>6</v>
      </c>
      <c r="I25" s="63">
        <f t="shared" si="1"/>
        <v>12083.333333333332</v>
      </c>
      <c r="J25" s="63">
        <f t="shared" si="2"/>
        <v>72500</v>
      </c>
      <c r="K25" s="2">
        <f t="shared" si="3"/>
        <v>162000</v>
      </c>
      <c r="L25" s="63">
        <f t="shared" si="4"/>
        <v>191400</v>
      </c>
      <c r="M25" s="63">
        <f t="shared" si="5"/>
        <v>2363100</v>
      </c>
      <c r="N25" s="63">
        <f t="shared" si="6"/>
        <v>94250</v>
      </c>
    </row>
    <row r="26" spans="1:14">
      <c r="A26" s="4" t="s">
        <v>52</v>
      </c>
      <c r="B26" s="2" t="s">
        <v>9</v>
      </c>
      <c r="C26" s="2" t="s">
        <v>66</v>
      </c>
      <c r="D26" s="2" t="s">
        <v>160</v>
      </c>
      <c r="E26" s="67">
        <v>20505</v>
      </c>
      <c r="F26" s="2">
        <f t="shared" ca="1" si="0"/>
        <v>68</v>
      </c>
      <c r="G26" s="63">
        <v>2320000</v>
      </c>
      <c r="H26" s="2">
        <v>6</v>
      </c>
      <c r="I26" s="63">
        <f t="shared" si="1"/>
        <v>12083.333333333332</v>
      </c>
      <c r="J26" s="63">
        <f t="shared" si="2"/>
        <v>72500</v>
      </c>
      <c r="K26" s="2">
        <f t="shared" si="3"/>
        <v>162000</v>
      </c>
      <c r="L26" s="63">
        <f t="shared" si="4"/>
        <v>191400</v>
      </c>
      <c r="M26" s="63">
        <f t="shared" si="5"/>
        <v>2363100</v>
      </c>
      <c r="N26" s="63">
        <f t="shared" si="6"/>
        <v>94250</v>
      </c>
    </row>
    <row r="27" spans="1:14">
      <c r="A27" s="4" t="s">
        <v>53</v>
      </c>
      <c r="B27" s="2" t="s">
        <v>9</v>
      </c>
      <c r="C27" s="2" t="s">
        <v>67</v>
      </c>
      <c r="D27" s="2" t="s">
        <v>161</v>
      </c>
      <c r="E27" s="67">
        <v>20506</v>
      </c>
      <c r="F27" s="2">
        <f t="shared" ca="1" si="0"/>
        <v>68</v>
      </c>
      <c r="G27" s="63">
        <v>1097803</v>
      </c>
      <c r="H27" s="2">
        <v>11</v>
      </c>
      <c r="I27" s="63">
        <f t="shared" si="1"/>
        <v>5717.7239583333339</v>
      </c>
      <c r="J27" s="63">
        <f t="shared" si="2"/>
        <v>62894.963541666672</v>
      </c>
      <c r="K27" s="2">
        <f t="shared" si="3"/>
        <v>162000</v>
      </c>
      <c r="L27" s="63">
        <f t="shared" si="4"/>
        <v>92855.837083333347</v>
      </c>
      <c r="M27" s="63">
        <f t="shared" si="5"/>
        <v>1229842.1264583333</v>
      </c>
      <c r="N27" s="63">
        <f t="shared" si="6"/>
        <v>81763.452604166669</v>
      </c>
    </row>
    <row r="28" spans="1:14">
      <c r="A28" s="4" t="s">
        <v>54</v>
      </c>
      <c r="B28" s="2" t="s">
        <v>8</v>
      </c>
      <c r="C28" s="2" t="s">
        <v>67</v>
      </c>
      <c r="D28" s="2" t="s">
        <v>162</v>
      </c>
      <c r="E28" s="67">
        <v>20507</v>
      </c>
      <c r="F28" s="2">
        <f t="shared" ca="1" si="0"/>
        <v>68</v>
      </c>
      <c r="G28" s="63">
        <v>1570000</v>
      </c>
      <c r="H28" s="2">
        <v>9</v>
      </c>
      <c r="I28" s="63">
        <f t="shared" si="1"/>
        <v>8177.0833333333339</v>
      </c>
      <c r="J28" s="63">
        <f t="shared" si="2"/>
        <v>73593.75</v>
      </c>
      <c r="K28" s="2">
        <f t="shared" si="3"/>
        <v>162000</v>
      </c>
      <c r="L28" s="63">
        <f t="shared" si="4"/>
        <v>131487.5</v>
      </c>
      <c r="M28" s="63">
        <f t="shared" si="5"/>
        <v>1674106.25</v>
      </c>
      <c r="N28" s="63">
        <f t="shared" si="6"/>
        <v>95671.875</v>
      </c>
    </row>
    <row r="29" spans="1:14">
      <c r="A29" s="4" t="s">
        <v>55</v>
      </c>
      <c r="B29" s="2" t="s">
        <v>8</v>
      </c>
      <c r="C29" s="2" t="s">
        <v>66</v>
      </c>
      <c r="D29" s="2" t="s">
        <v>163</v>
      </c>
      <c r="E29" s="67">
        <v>31248</v>
      </c>
      <c r="F29" s="2">
        <f t="shared" ca="1" si="0"/>
        <v>38</v>
      </c>
      <c r="G29" s="63">
        <v>1200000</v>
      </c>
      <c r="H29" s="2">
        <v>3</v>
      </c>
      <c r="I29" s="63">
        <f t="shared" si="1"/>
        <v>6250</v>
      </c>
      <c r="J29" s="63">
        <f t="shared" si="2"/>
        <v>18750</v>
      </c>
      <c r="K29" s="2">
        <f t="shared" si="3"/>
        <v>162000</v>
      </c>
      <c r="L29" s="63">
        <f t="shared" si="4"/>
        <v>97500</v>
      </c>
      <c r="M29" s="63">
        <f t="shared" si="5"/>
        <v>1283250</v>
      </c>
      <c r="N29" s="63">
        <f t="shared" si="6"/>
        <v>21562.5</v>
      </c>
    </row>
    <row r="30" spans="1:14">
      <c r="A30" s="4" t="s">
        <v>56</v>
      </c>
      <c r="B30" s="2" t="s">
        <v>8</v>
      </c>
      <c r="C30" s="2" t="s">
        <v>67</v>
      </c>
      <c r="D30" s="2" t="s">
        <v>164</v>
      </c>
      <c r="E30" s="67">
        <v>29440</v>
      </c>
      <c r="F30" s="2">
        <f t="shared" ca="1" si="0"/>
        <v>43</v>
      </c>
      <c r="G30" s="63">
        <v>3000000</v>
      </c>
      <c r="H30" s="2">
        <v>5</v>
      </c>
      <c r="I30" s="63">
        <f t="shared" si="1"/>
        <v>15625</v>
      </c>
      <c r="J30" s="63">
        <f t="shared" si="2"/>
        <v>78125</v>
      </c>
      <c r="K30" s="2">
        <f t="shared" si="3"/>
        <v>0</v>
      </c>
      <c r="L30" s="63">
        <f t="shared" si="4"/>
        <v>246250</v>
      </c>
      <c r="M30" s="63">
        <f t="shared" si="5"/>
        <v>2831875</v>
      </c>
      <c r="N30" s="63">
        <f t="shared" si="6"/>
        <v>101562.5</v>
      </c>
    </row>
    <row r="31" spans="1:14">
      <c r="A31" s="4" t="s">
        <v>57</v>
      </c>
      <c r="B31" s="2" t="s">
        <v>8</v>
      </c>
      <c r="C31" s="2" t="s">
        <v>67</v>
      </c>
      <c r="D31" s="2" t="s">
        <v>159</v>
      </c>
      <c r="E31" s="67">
        <v>31208</v>
      </c>
      <c r="F31" s="2">
        <f t="shared" ca="1" si="0"/>
        <v>38</v>
      </c>
      <c r="G31" s="63">
        <v>3500000</v>
      </c>
      <c r="H31" s="2">
        <v>10</v>
      </c>
      <c r="I31" s="63">
        <f t="shared" si="1"/>
        <v>18229.166666666668</v>
      </c>
      <c r="J31" s="63">
        <f t="shared" si="2"/>
        <v>182291.66666666669</v>
      </c>
      <c r="K31" s="2">
        <f t="shared" si="3"/>
        <v>0</v>
      </c>
      <c r="L31" s="63">
        <f t="shared" si="4"/>
        <v>294583.33333333331</v>
      </c>
      <c r="M31" s="63">
        <f t="shared" si="5"/>
        <v>3387708.333333333</v>
      </c>
      <c r="N31" s="63">
        <f t="shared" si="6"/>
        <v>236979.16666666669</v>
      </c>
    </row>
    <row r="32" spans="1:14">
      <c r="A32" s="4" t="s">
        <v>58</v>
      </c>
      <c r="B32" s="2" t="s">
        <v>8</v>
      </c>
      <c r="C32" s="2" t="s">
        <v>66</v>
      </c>
      <c r="D32" s="2" t="s">
        <v>160</v>
      </c>
      <c r="E32" s="67">
        <v>30502</v>
      </c>
      <c r="F32" s="2">
        <f t="shared" ca="1" si="0"/>
        <v>40</v>
      </c>
      <c r="G32" s="63">
        <v>1097803</v>
      </c>
      <c r="H32" s="2">
        <v>4</v>
      </c>
      <c r="I32" s="63">
        <f t="shared" si="1"/>
        <v>5717.7239583333339</v>
      </c>
      <c r="J32" s="63">
        <f t="shared" si="2"/>
        <v>22870.895833333336</v>
      </c>
      <c r="K32" s="2">
        <f t="shared" si="3"/>
        <v>162000</v>
      </c>
      <c r="L32" s="63">
        <f t="shared" si="4"/>
        <v>89653.911666666667</v>
      </c>
      <c r="M32" s="63">
        <f t="shared" si="5"/>
        <v>1193019.9841666666</v>
      </c>
      <c r="N32" s="63">
        <f t="shared" si="6"/>
        <v>26301.530208333337</v>
      </c>
    </row>
    <row r="33" spans="1:14">
      <c r="A33" s="4" t="s">
        <v>59</v>
      </c>
      <c r="B33" s="2" t="s">
        <v>8</v>
      </c>
      <c r="C33" s="2" t="s">
        <v>65</v>
      </c>
      <c r="D33" s="2" t="s">
        <v>161</v>
      </c>
      <c r="E33" s="67">
        <v>29193</v>
      </c>
      <c r="F33" s="2">
        <f t="shared" ca="1" si="0"/>
        <v>44</v>
      </c>
      <c r="G33" s="63">
        <v>1570000</v>
      </c>
      <c r="H33" s="2">
        <v>2</v>
      </c>
      <c r="I33" s="63">
        <f t="shared" si="1"/>
        <v>8177.0833333333339</v>
      </c>
      <c r="J33" s="63">
        <f t="shared" si="2"/>
        <v>16354.166666666668</v>
      </c>
      <c r="K33" s="2">
        <f t="shared" si="3"/>
        <v>162000</v>
      </c>
      <c r="L33" s="63">
        <f t="shared" si="4"/>
        <v>126908.33333333334</v>
      </c>
      <c r="M33" s="63">
        <f t="shared" si="5"/>
        <v>1621445.8333333335</v>
      </c>
      <c r="N33" s="63">
        <f t="shared" si="6"/>
        <v>18807.291666666668</v>
      </c>
    </row>
    <row r="34" spans="1:14">
      <c r="A34" s="4" t="s">
        <v>60</v>
      </c>
      <c r="B34" s="2" t="s">
        <v>8</v>
      </c>
      <c r="C34" s="2" t="s">
        <v>66</v>
      </c>
      <c r="D34" s="2" t="s">
        <v>162</v>
      </c>
      <c r="E34" s="67">
        <v>30135</v>
      </c>
      <c r="F34" s="2">
        <f t="shared" ca="1" si="0"/>
        <v>41</v>
      </c>
      <c r="G34" s="63">
        <v>1970000</v>
      </c>
      <c r="H34" s="2">
        <v>10</v>
      </c>
      <c r="I34" s="63">
        <f t="shared" si="1"/>
        <v>10260.416666666668</v>
      </c>
      <c r="J34" s="63">
        <f t="shared" si="2"/>
        <v>102604.16666666669</v>
      </c>
      <c r="K34" s="2">
        <f t="shared" si="3"/>
        <v>162000</v>
      </c>
      <c r="L34" s="63">
        <f t="shared" si="4"/>
        <v>165808.33333333334</v>
      </c>
      <c r="M34" s="63">
        <f t="shared" si="5"/>
        <v>2068795.8333333337</v>
      </c>
      <c r="N34" s="63">
        <f t="shared" si="6"/>
        <v>133385.41666666669</v>
      </c>
    </row>
    <row r="35" spans="1:14">
      <c r="A35" s="4" t="s">
        <v>61</v>
      </c>
      <c r="B35" s="2" t="s">
        <v>9</v>
      </c>
      <c r="C35" s="2" t="s">
        <v>67</v>
      </c>
      <c r="D35" s="2" t="s">
        <v>163</v>
      </c>
      <c r="E35" s="67">
        <v>28372</v>
      </c>
      <c r="F35" s="2">
        <f t="shared" ca="1" si="0"/>
        <v>46</v>
      </c>
      <c r="G35" s="63">
        <v>2320000</v>
      </c>
      <c r="H35" s="2">
        <v>3</v>
      </c>
      <c r="I35" s="63">
        <f t="shared" si="1"/>
        <v>12083.333333333332</v>
      </c>
      <c r="J35" s="63">
        <f t="shared" si="2"/>
        <v>36250</v>
      </c>
      <c r="K35" s="2">
        <f t="shared" si="3"/>
        <v>162000</v>
      </c>
      <c r="L35" s="63">
        <f t="shared" si="4"/>
        <v>188500</v>
      </c>
      <c r="M35" s="63">
        <f t="shared" si="5"/>
        <v>2329750</v>
      </c>
      <c r="N35" s="63">
        <f t="shared" si="6"/>
        <v>41687.5</v>
      </c>
    </row>
    <row r="36" spans="1:14">
      <c r="A36" s="4" t="s">
        <v>62</v>
      </c>
      <c r="B36" s="2" t="s">
        <v>8</v>
      </c>
      <c r="C36" s="2" t="s">
        <v>65</v>
      </c>
      <c r="D36" s="2" t="s">
        <v>164</v>
      </c>
      <c r="E36" s="67">
        <v>28373</v>
      </c>
      <c r="F36" s="2">
        <f t="shared" ca="1" si="0"/>
        <v>46</v>
      </c>
      <c r="G36" s="63">
        <v>1420000</v>
      </c>
      <c r="H36" s="2">
        <v>10</v>
      </c>
      <c r="I36" s="63">
        <f t="shared" si="1"/>
        <v>7395.8333333333339</v>
      </c>
      <c r="J36" s="63">
        <f t="shared" si="2"/>
        <v>73958.333333333343</v>
      </c>
      <c r="K36" s="2">
        <f t="shared" si="3"/>
        <v>162000</v>
      </c>
      <c r="L36" s="63">
        <f t="shared" si="4"/>
        <v>119516.66666666666</v>
      </c>
      <c r="M36" s="63">
        <f t="shared" si="5"/>
        <v>1536441.6666666665</v>
      </c>
      <c r="N36" s="63">
        <f t="shared" si="6"/>
        <v>96145.833333333343</v>
      </c>
    </row>
    <row r="37" spans="1:14">
      <c r="C37" s="102" t="s">
        <v>76</v>
      </c>
      <c r="D37" s="102"/>
      <c r="E37" s="102"/>
      <c r="F37" s="2">
        <f ca="1">TRUNC(AVERAGE(F7:F36))</f>
        <v>43</v>
      </c>
      <c r="I37" s="63">
        <f t="shared" si="1"/>
        <v>0</v>
      </c>
      <c r="J37" s="63">
        <f t="shared" si="2"/>
        <v>0</v>
      </c>
      <c r="K37" s="103" t="s">
        <v>78</v>
      </c>
      <c r="L37" s="104"/>
      <c r="M37" s="63">
        <f>SUM(M7:M36)</f>
        <v>56077124.275000006</v>
      </c>
      <c r="N37" s="88"/>
    </row>
    <row r="39" spans="1:14" ht="26.25">
      <c r="A39" s="107" t="s">
        <v>10</v>
      </c>
      <c r="B39" s="107"/>
      <c r="C39" s="107"/>
      <c r="D39" s="107"/>
      <c r="E39" s="107"/>
      <c r="F39" s="107"/>
      <c r="G39" s="107"/>
      <c r="H39" s="107"/>
      <c r="I39" s="107"/>
      <c r="J39" s="107"/>
      <c r="K39" s="107"/>
      <c r="L39" s="107"/>
    </row>
    <row r="40" spans="1:14" ht="45" customHeight="1">
      <c r="A40" s="110" t="s">
        <v>11</v>
      </c>
      <c r="B40" s="111"/>
      <c r="C40" s="111"/>
      <c r="D40" s="41" t="s">
        <v>176</v>
      </c>
      <c r="G40" s="105" t="s">
        <v>77</v>
      </c>
      <c r="H40" s="106"/>
      <c r="I40" s="41" t="s">
        <v>178</v>
      </c>
      <c r="L40" s="105" t="s">
        <v>16</v>
      </c>
      <c r="M40" s="106"/>
    </row>
    <row r="41" spans="1:14">
      <c r="A41" s="31" t="s">
        <v>165</v>
      </c>
      <c r="B41" s="108">
        <f>SUMIF($B$7:$B$36,"f",$M$7:$M$36)</f>
        <v>19652737.959791664</v>
      </c>
      <c r="C41" s="109"/>
      <c r="D41" s="69">
        <f>B41*100%/B43</f>
        <v>0.3504590902952765</v>
      </c>
      <c r="F41" t="s">
        <v>265</v>
      </c>
      <c r="G41" s="1" t="s">
        <v>12</v>
      </c>
      <c r="H41" s="2">
        <f>COUNTIF($C$7:$C$36,"SOLTERO (A)")</f>
        <v>1</v>
      </c>
      <c r="I41" s="69">
        <f>H41*100%/$H$47</f>
        <v>3.3333333333333333E-2</v>
      </c>
      <c r="L41" s="31" t="s">
        <v>168</v>
      </c>
      <c r="M41" s="63">
        <f>AVERAGEIF(B7:B36,"M",M7:M36)</f>
        <v>1821219.3157604164</v>
      </c>
    </row>
    <row r="42" spans="1:14">
      <c r="A42" s="31" t="s">
        <v>166</v>
      </c>
      <c r="B42" s="108">
        <f>SUMIF($B$7:$B$36,"M",$M$7:$M$36)</f>
        <v>36424386.315208331</v>
      </c>
      <c r="C42" s="109"/>
      <c r="D42" s="69">
        <f>B42*100%/B43</f>
        <v>0.64954090970472356</v>
      </c>
      <c r="G42" s="1" t="s">
        <v>13</v>
      </c>
      <c r="H42" s="2">
        <f>COUNTIF($C$7:$C$36,"VIUDO (A)")</f>
        <v>6</v>
      </c>
      <c r="I42" s="69">
        <f t="shared" ref="I42:I46" si="7">H42*100%/$H$47</f>
        <v>0.2</v>
      </c>
      <c r="L42" s="31" t="s">
        <v>167</v>
      </c>
      <c r="M42" s="63">
        <f>AVERAGEIF(B7:B36,"f",M7:M36)</f>
        <v>1965273.7959791664</v>
      </c>
    </row>
    <row r="43" spans="1:14">
      <c r="B43" s="98">
        <f>SUM(B41:C42)</f>
        <v>56077124.274999991</v>
      </c>
      <c r="C43" s="99"/>
      <c r="D43" s="69">
        <f>SUM(D41:D42)</f>
        <v>1</v>
      </c>
      <c r="G43" s="1" t="s">
        <v>14</v>
      </c>
      <c r="H43" s="2">
        <f>COUNTIF($C$7:$C$36,"CASADO (A)")</f>
        <v>11</v>
      </c>
      <c r="I43" s="69">
        <f t="shared" si="7"/>
        <v>0.36666666666666664</v>
      </c>
    </row>
    <row r="44" spans="1:14">
      <c r="A44" s="96" t="s">
        <v>169</v>
      </c>
      <c r="B44" s="96"/>
      <c r="C44" s="96"/>
      <c r="D44" s="95" t="s">
        <v>176</v>
      </c>
      <c r="G44" s="1" t="s">
        <v>15</v>
      </c>
      <c r="H44" s="2">
        <f>COUNTIF($C$7:$C$36,"DIVORCIADO (A)")</f>
        <v>0</v>
      </c>
      <c r="I44" s="69">
        <f t="shared" si="7"/>
        <v>0</v>
      </c>
    </row>
    <row r="45" spans="1:14">
      <c r="A45" s="97"/>
      <c r="B45" s="96"/>
      <c r="C45" s="96"/>
      <c r="D45" s="96"/>
      <c r="G45" s="1" t="s">
        <v>71</v>
      </c>
      <c r="H45" s="2">
        <f>COUNTIF($C$7:$C$36,"SEPARADO (A)")</f>
        <v>8</v>
      </c>
      <c r="I45" s="69">
        <f t="shared" si="7"/>
        <v>0.26666666666666666</v>
      </c>
    </row>
    <row r="46" spans="1:14">
      <c r="A46" s="31" t="s">
        <v>170</v>
      </c>
      <c r="B46" s="94">
        <f>SUMIF($D$7:$D$36,"MARKETING",$N$7:$N$36)</f>
        <v>445401.04166666669</v>
      </c>
      <c r="C46" s="94"/>
      <c r="D46" s="69">
        <f>B46*100%/$B$52</f>
        <v>0.19711917506954083</v>
      </c>
      <c r="G46" s="1" t="s">
        <v>68</v>
      </c>
      <c r="H46" s="2">
        <f>COUNTIF($C$7:$C$36,"UNIÓN LIBRE")</f>
        <v>4</v>
      </c>
      <c r="I46" s="69">
        <f t="shared" si="7"/>
        <v>0.13333333333333333</v>
      </c>
    </row>
    <row r="47" spans="1:14">
      <c r="A47" s="31" t="s">
        <v>171</v>
      </c>
      <c r="B47" s="94">
        <f>SUMIF($D$7:$D$36,"Gestión Financiera",$N$7:$N$36)</f>
        <v>287582.78020833334</v>
      </c>
      <c r="C47" s="94"/>
      <c r="D47" s="69">
        <f t="shared" ref="D47:D51" si="8">B47*100%/$B$52</f>
        <v>0.12727424297605591</v>
      </c>
      <c r="G47" s="42" t="s">
        <v>179</v>
      </c>
      <c r="H47" s="43">
        <f>SUM(H41:H46)</f>
        <v>30</v>
      </c>
      <c r="I47" s="71">
        <f>SUM(I41:I46)</f>
        <v>1</v>
      </c>
    </row>
    <row r="48" spans="1:14">
      <c r="A48" s="31" t="s">
        <v>172</v>
      </c>
      <c r="B48" s="94">
        <f>SUMIF($D$7:$D$36,"Gestión Administrativa",$N$7:$N$36)</f>
        <v>385979.07760416676</v>
      </c>
      <c r="C48" s="94"/>
      <c r="D48" s="69">
        <f t="shared" si="8"/>
        <v>0.17082105844821077</v>
      </c>
    </row>
    <row r="49" spans="1:4">
      <c r="A49" s="31" t="s">
        <v>173</v>
      </c>
      <c r="B49" s="94">
        <f>SUMIF($D$7:$D$36,"Gestión Del Talento Humano",$N$7:$N$36)</f>
        <v>433071.10833333334</v>
      </c>
      <c r="C49" s="94"/>
      <c r="D49" s="69">
        <f t="shared" si="8"/>
        <v>0.19166237084152549</v>
      </c>
    </row>
    <row r="50" spans="1:4">
      <c r="A50" s="31" t="s">
        <v>174</v>
      </c>
      <c r="B50" s="94">
        <f>SUMIF($D$7:$D$36,"Gestión De La Producción",$N$7:$N$36)</f>
        <v>145217.2890625</v>
      </c>
      <c r="C50" s="94"/>
      <c r="D50" s="69">
        <f t="shared" si="8"/>
        <v>6.4268175302692215E-2</v>
      </c>
    </row>
    <row r="51" spans="1:4">
      <c r="A51" s="31" t="s">
        <v>175</v>
      </c>
      <c r="B51" s="94">
        <f>SUMIF($D$7:$D$36,"Gestión De La Calidad",$N$7:$N$36)</f>
        <v>562300.78125</v>
      </c>
      <c r="C51" s="94"/>
      <c r="D51" s="69">
        <f t="shared" si="8"/>
        <v>0.24885497736197482</v>
      </c>
    </row>
    <row r="52" spans="1:4">
      <c r="A52" s="42" t="s">
        <v>177</v>
      </c>
      <c r="B52" s="94">
        <f>SUM(B46:C51)</f>
        <v>2259552.078125</v>
      </c>
      <c r="C52" s="94"/>
      <c r="D52" s="70">
        <f>SUM(D46:D51)</f>
        <v>1</v>
      </c>
    </row>
  </sheetData>
  <autoFilter ref="A6:N37"/>
  <mergeCells count="21">
    <mergeCell ref="B43:C43"/>
    <mergeCell ref="A1:M1"/>
    <mergeCell ref="B3:C3"/>
    <mergeCell ref="B4:C4"/>
    <mergeCell ref="C37:E37"/>
    <mergeCell ref="K37:L37"/>
    <mergeCell ref="G40:H40"/>
    <mergeCell ref="L40:M40"/>
    <mergeCell ref="A39:L39"/>
    <mergeCell ref="B41:C41"/>
    <mergeCell ref="B42:C42"/>
    <mergeCell ref="A40:C40"/>
    <mergeCell ref="B52:C52"/>
    <mergeCell ref="B49:C49"/>
    <mergeCell ref="B50:C50"/>
    <mergeCell ref="B51:C51"/>
    <mergeCell ref="D44:D45"/>
    <mergeCell ref="A44:C45"/>
    <mergeCell ref="B46:C46"/>
    <mergeCell ref="B47:C47"/>
    <mergeCell ref="B48:C48"/>
  </mergeCell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9"/>
  <sheetViews>
    <sheetView topLeftCell="A6" zoomScale="96" zoomScaleNormal="96" workbookViewId="0">
      <selection activeCell="K7" sqref="K7"/>
    </sheetView>
  </sheetViews>
  <sheetFormatPr baseColWidth="10" defaultRowHeight="15"/>
  <cols>
    <col min="1" max="1" width="13.7109375" customWidth="1"/>
    <col min="2" max="2" width="21.85546875" customWidth="1"/>
    <col min="3" max="3" width="12" customWidth="1"/>
    <col min="4" max="4" width="20.5703125" customWidth="1"/>
    <col min="5" max="5" width="9.28515625" customWidth="1"/>
    <col min="6" max="6" width="10.42578125" customWidth="1"/>
    <col min="7" max="7" width="31.140625" customWidth="1"/>
    <col min="9" max="9" width="10.42578125" customWidth="1"/>
    <col min="10" max="10" width="14.28515625" customWidth="1"/>
    <col min="11" max="11" width="15.42578125" customWidth="1"/>
    <col min="12" max="12" width="6.28515625" customWidth="1"/>
  </cols>
  <sheetData>
    <row r="1" spans="1:11" ht="23.25">
      <c r="A1" s="62" t="s">
        <v>140</v>
      </c>
      <c r="B1" s="27"/>
      <c r="C1" s="27"/>
      <c r="D1" s="27"/>
      <c r="E1" s="27"/>
      <c r="F1" s="27"/>
      <c r="G1" s="27"/>
      <c r="H1" s="27"/>
    </row>
    <row r="2" spans="1:11">
      <c r="A2" s="60" t="s">
        <v>146</v>
      </c>
      <c r="B2" s="61"/>
      <c r="C2" s="61"/>
      <c r="D2" s="61"/>
      <c r="E2" s="61"/>
      <c r="H2" s="28" t="s">
        <v>223</v>
      </c>
    </row>
    <row r="4" spans="1:11" ht="28.5" customHeight="1">
      <c r="A4" s="115" t="s">
        <v>20</v>
      </c>
      <c r="B4" s="115"/>
      <c r="D4" s="112" t="s">
        <v>72</v>
      </c>
      <c r="E4" s="113"/>
      <c r="G4" s="112" t="s">
        <v>23</v>
      </c>
      <c r="H4" s="113"/>
      <c r="J4" s="114" t="s">
        <v>73</v>
      </c>
      <c r="K4" s="114"/>
    </row>
    <row r="5" spans="1:11">
      <c r="A5" s="45" t="s">
        <v>26</v>
      </c>
      <c r="B5" s="45" t="s">
        <v>143</v>
      </c>
      <c r="D5" s="46" t="s">
        <v>28</v>
      </c>
      <c r="E5" s="45" t="s">
        <v>29</v>
      </c>
      <c r="G5" s="46" t="s">
        <v>30</v>
      </c>
      <c r="H5" s="45" t="s">
        <v>27</v>
      </c>
      <c r="J5" s="45" t="s">
        <v>26</v>
      </c>
      <c r="K5" s="45" t="s">
        <v>147</v>
      </c>
    </row>
    <row r="6" spans="1:11" ht="45" customHeight="1">
      <c r="A6" s="31" t="s">
        <v>12</v>
      </c>
      <c r="B6" s="68">
        <f>AVERAGEIF(empresa!$C$7:$C$36,"SOLTERO (A)",empresa!$M$7:$M$36)</f>
        <v>2994600</v>
      </c>
      <c r="D6" s="32" t="s">
        <v>21</v>
      </c>
      <c r="E6" s="2">
        <f>SUMIF(empresa!$B$7:$B$36,"F",empresa!$H$7:$H$36)</f>
        <v>61</v>
      </c>
      <c r="G6" s="32" t="s">
        <v>24</v>
      </c>
      <c r="H6" s="2">
        <f>COUNTIF(empresa!$K$7:$K$36,empresa!$B$4)</f>
        <v>27</v>
      </c>
      <c r="J6" s="31" t="s">
        <v>12</v>
      </c>
      <c r="K6" s="2">
        <f ca="1">TRUNC(AVERAGEIF(empresa!$C$7:$C$36,"SOLTERO (A)",empresa!$F$7:$F$36))</f>
        <v>49</v>
      </c>
    </row>
    <row r="7" spans="1:11">
      <c r="A7" s="31" t="s">
        <v>13</v>
      </c>
      <c r="B7" s="68">
        <f>AVERAGEIF(empresa!$C$7:$C$36,"VIUDO (A)",empresa!$M$7:$M$36)</f>
        <v>1624310.6039236113</v>
      </c>
      <c r="D7" s="32" t="s">
        <v>22</v>
      </c>
      <c r="E7" s="2">
        <f>SUMIF(empresa!$B$7:$B$36,"M",empresa!$H$7:$H$36)</f>
        <v>130</v>
      </c>
      <c r="G7" s="32" t="s">
        <v>25</v>
      </c>
      <c r="H7" s="2">
        <f>COUNTIF(empresa!$K$7:$K$36,0)</f>
        <v>3</v>
      </c>
      <c r="J7" s="31" t="s">
        <v>13</v>
      </c>
      <c r="K7" s="2">
        <f ca="1">TRUNC(AVERAGEIF(empresa!$C$7:$C$36,"VIUDO (A)",empresa!$F$7:$F$36))</f>
        <v>40</v>
      </c>
    </row>
    <row r="8" spans="1:11">
      <c r="A8" s="31" t="s">
        <v>14</v>
      </c>
      <c r="B8" s="68">
        <f>AVERAGEIF(empresa!$C$7:$C$36,"CASADO (A)",empresa!$M$7:$M$36)</f>
        <v>2056015.2689962119</v>
      </c>
      <c r="H8">
        <f>SUM(H6:H7)</f>
        <v>30</v>
      </c>
      <c r="J8" s="31" t="s">
        <v>14</v>
      </c>
      <c r="K8" s="2">
        <f ca="1">TRUNC(AVERAGEIF(empresa!$C$7:$C$36,"CASADO (A)",empresa!$F$7:$F$36))</f>
        <v>45</v>
      </c>
    </row>
    <row r="9" spans="1:11" ht="15" customHeight="1">
      <c r="A9" s="31" t="s">
        <v>15</v>
      </c>
      <c r="B9" s="68">
        <f>IFERROR(AVERAGEIF(empresa!$C$7:$C$36,"DIVORCIADO (A)",empresa!$M$7:$M$36),0)</f>
        <v>0</v>
      </c>
      <c r="D9" s="3"/>
      <c r="G9" s="3"/>
      <c r="J9" s="31" t="s">
        <v>15</v>
      </c>
      <c r="K9" s="2">
        <f>IFERROR(AVERAGEIF(empresa!$C$7:$C$36,"DIVORCIADO (A)",empresa!$F$7:$F$36),0)</f>
        <v>0</v>
      </c>
    </row>
    <row r="10" spans="1:11">
      <c r="A10" s="31" t="s">
        <v>71</v>
      </c>
      <c r="B10" s="68">
        <f>AVERAGEIF(empresa!$C$7:$C$36,"SEPARADO (A)",empresa!$M$7:$M$36)</f>
        <v>1708300.1152083334</v>
      </c>
      <c r="D10" s="5" t="s">
        <v>74</v>
      </c>
      <c r="E10" s="2">
        <f ca="1">MAX(empresa!$F$7:$F$36)</f>
        <v>68</v>
      </c>
      <c r="J10" s="31" t="s">
        <v>71</v>
      </c>
      <c r="K10" s="2">
        <f ca="1">TRUNC(AVERAGEIF(empresa!$C$7:$C$36,"SEPARADO (A)",empresa!$F$7:$F$36))</f>
        <v>43</v>
      </c>
    </row>
    <row r="11" spans="1:11">
      <c r="A11" s="31" t="s">
        <v>68</v>
      </c>
      <c r="B11" s="68">
        <f>AVERAGEIF(empresa!$C$7:$C$36,"UNIÓN LIBRE",empresa!$M$7:$M$36)</f>
        <v>1763522.9427083335</v>
      </c>
      <c r="D11" s="5" t="s">
        <v>75</v>
      </c>
      <c r="E11" s="2">
        <f ca="1">MIN(empresa!$F$7:$F$36)</f>
        <v>33</v>
      </c>
      <c r="J11" s="31" t="s">
        <v>68</v>
      </c>
      <c r="K11" s="2">
        <f ca="1">TRUNC(AVERAGEIF(empresa!$C$7:$C$36,"UNIÓN LIBRE",empresa!$F$7:$F$36))</f>
        <v>41</v>
      </c>
    </row>
    <row r="12" spans="1:11">
      <c r="G12" s="114" t="s">
        <v>180</v>
      </c>
      <c r="H12" s="114"/>
    </row>
    <row r="13" spans="1:11">
      <c r="G13" s="45" t="s">
        <v>181</v>
      </c>
      <c r="H13" s="45" t="s">
        <v>182</v>
      </c>
    </row>
    <row r="14" spans="1:11">
      <c r="G14" s="31" t="s">
        <v>240</v>
      </c>
      <c r="H14" s="63">
        <f>AVERAGEIF(empresa!$D$7:$D$36,"marketing",empresa!$J$7:$J$36)</f>
        <v>69083.333333333343</v>
      </c>
    </row>
    <row r="15" spans="1:11">
      <c r="G15" s="31" t="s">
        <v>160</v>
      </c>
      <c r="H15" s="63">
        <f>AVERAGEIF(empresa!$D$7:$D$36,"Gestión Financiera",empresa!$J$7:$J$36)</f>
        <v>46449.179166666669</v>
      </c>
    </row>
    <row r="16" spans="1:11">
      <c r="G16" s="31" t="s">
        <v>161</v>
      </c>
      <c r="H16" s="63">
        <f>AVERAGEIF(empresa!$D$7:$D$36,"Gestión Administrativa",empresa!$J$7:$J$36)</f>
        <v>60441.492708333339</v>
      </c>
    </row>
    <row r="17" spans="7:8">
      <c r="G17" s="31" t="s">
        <v>162</v>
      </c>
      <c r="H17" s="63">
        <f>AVERAGEIF(empresa!$D$7:$D$36,"Gestión Del Talento Humano",empresa!$J$7:$J$36)</f>
        <v>67059.016666666677</v>
      </c>
    </row>
    <row r="18" spans="7:8">
      <c r="G18" s="31" t="s">
        <v>163</v>
      </c>
      <c r="H18" s="63">
        <f>AVERAGEIF(empresa!$D$7:$D$36,"Gestión De La Producción",empresa!$J$7:$J$36)</f>
        <v>24509.390625</v>
      </c>
    </row>
    <row r="19" spans="7:8">
      <c r="G19" s="31" t="s">
        <v>164</v>
      </c>
      <c r="H19" s="63">
        <f>AVERAGEIF(empresa!$D$7:$D$36,"Gestión De La Calidad",empresa!$J$7:$J$36)</f>
        <v>86507.8125</v>
      </c>
    </row>
  </sheetData>
  <mergeCells count="5">
    <mergeCell ref="D4:E4"/>
    <mergeCell ref="G4:H4"/>
    <mergeCell ref="J4:K4"/>
    <mergeCell ref="A4:B4"/>
    <mergeCell ref="G12:H12"/>
  </mergeCells>
  <pageMargins left="0.7" right="0.7" top="0.75" bottom="0.75" header="0.3" footer="0.3"/>
  <pageSetup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63"/>
  <sheetViews>
    <sheetView tabSelected="1" topLeftCell="C33" zoomScale="106" zoomScaleNormal="106" workbookViewId="0">
      <selection activeCell="F46" sqref="F46"/>
    </sheetView>
  </sheetViews>
  <sheetFormatPr baseColWidth="10" defaultRowHeight="12.75"/>
  <cols>
    <col min="1" max="1" width="4" style="10" bestFit="1" customWidth="1"/>
    <col min="2" max="2" width="33.42578125" style="10" customWidth="1"/>
    <col min="3" max="3" width="11.140625" style="10" bestFit="1" customWidth="1"/>
    <col min="4" max="5" width="11.42578125" style="10"/>
    <col min="6" max="6" width="16.28515625" style="10" customWidth="1"/>
    <col min="7" max="7" width="11.42578125" style="10"/>
    <col min="8" max="8" width="7.7109375" style="10" customWidth="1"/>
    <col min="9" max="9" width="13.28515625" style="10" customWidth="1"/>
    <col min="10" max="10" width="5.42578125" style="10" customWidth="1"/>
    <col min="11" max="11" width="12.85546875" style="10" customWidth="1"/>
    <col min="12" max="12" width="11" style="10" customWidth="1"/>
    <col min="13" max="13" width="5" style="10" customWidth="1"/>
    <col min="14" max="16384" width="11.42578125" style="10"/>
  </cols>
  <sheetData>
    <row r="1" spans="1:14">
      <c r="B1" s="28" t="s">
        <v>242</v>
      </c>
    </row>
    <row r="2" spans="1:14" ht="18.75">
      <c r="A2" s="130" t="s">
        <v>138</v>
      </c>
      <c r="B2" s="130"/>
      <c r="C2" s="130"/>
      <c r="D2" s="130"/>
      <c r="E2" s="130"/>
      <c r="F2" s="130"/>
      <c r="G2" s="130"/>
      <c r="H2" s="130"/>
      <c r="I2" s="130"/>
      <c r="J2" s="26"/>
    </row>
    <row r="3" spans="1:14">
      <c r="A3" s="25"/>
      <c r="B3" s="25"/>
      <c r="C3" s="25"/>
      <c r="D3" s="25"/>
      <c r="E3" s="25"/>
      <c r="F3" s="25"/>
      <c r="G3" s="25"/>
      <c r="H3" s="137"/>
      <c r="I3" s="137"/>
    </row>
    <row r="4" spans="1:14" ht="26.25">
      <c r="A4" s="131">
        <f ca="1">TODAY()</f>
        <v>45356</v>
      </c>
      <c r="B4" s="131"/>
      <c r="C4" s="131"/>
      <c r="D4" s="131"/>
      <c r="E4" s="131"/>
      <c r="F4" s="131"/>
      <c r="G4" s="131"/>
      <c r="H4" s="131"/>
      <c r="I4" s="131"/>
    </row>
    <row r="5" spans="1:14" ht="15.75">
      <c r="B5" s="132"/>
      <c r="C5" s="132"/>
      <c r="D5" s="132"/>
      <c r="E5" s="24"/>
      <c r="F5" s="24"/>
      <c r="G5" s="24"/>
      <c r="K5" s="138" t="s">
        <v>132</v>
      </c>
      <c r="L5" s="139"/>
    </row>
    <row r="6" spans="1:14">
      <c r="A6" s="18" t="s">
        <v>137</v>
      </c>
      <c r="B6" s="18" t="s">
        <v>136</v>
      </c>
      <c r="C6" s="18" t="s">
        <v>135</v>
      </c>
      <c r="D6" s="18" t="s">
        <v>130</v>
      </c>
      <c r="E6" s="18" t="s">
        <v>134</v>
      </c>
      <c r="F6" s="18" t="s">
        <v>91</v>
      </c>
      <c r="G6" s="18" t="s">
        <v>141</v>
      </c>
      <c r="H6" s="18" t="s">
        <v>126</v>
      </c>
      <c r="I6" s="18" t="s">
        <v>133</v>
      </c>
      <c r="K6" s="18" t="s">
        <v>144</v>
      </c>
      <c r="L6" s="18"/>
    </row>
    <row r="7" spans="1:14">
      <c r="A7" s="19">
        <v>1</v>
      </c>
      <c r="B7" s="19" t="s">
        <v>131</v>
      </c>
      <c r="C7" s="23">
        <v>1.5</v>
      </c>
      <c r="D7" s="15">
        <v>41</v>
      </c>
      <c r="E7" s="23">
        <f>D7/C7^2</f>
        <v>18.222222222222221</v>
      </c>
      <c r="F7" s="15" t="str">
        <f>IF(E7="","",IF(E7&lt;18,"Falto de Peso",IF(E7&gt;25,"Con Sobre Peso","Normal")))</f>
        <v>Normal</v>
      </c>
      <c r="G7" s="87">
        <v>39217</v>
      </c>
      <c r="H7" s="15">
        <f ca="1">DATEDIF(G7,TODAY(),"Y")</f>
        <v>16</v>
      </c>
      <c r="I7" s="92">
        <v>240000</v>
      </c>
      <c r="K7" s="19" t="s">
        <v>130</v>
      </c>
      <c r="L7" s="65">
        <f>AVERAGE(D7:D41)</f>
        <v>47.485714285714288</v>
      </c>
    </row>
    <row r="8" spans="1:14">
      <c r="A8" s="17">
        <v>2</v>
      </c>
      <c r="B8" s="17" t="s">
        <v>129</v>
      </c>
      <c r="C8" s="20">
        <v>1.5</v>
      </c>
      <c r="D8" s="13">
        <v>47</v>
      </c>
      <c r="E8" s="23">
        <f t="shared" ref="E8:E41" si="0">D8/C8^2</f>
        <v>20.888888888888889</v>
      </c>
      <c r="F8" s="15" t="str">
        <f t="shared" ref="F8:F41" si="1">IF(E8="","",IF(E8&lt;18,"Falto de Peso",IF(E8&gt;25,"Con Sobre Peso","Normal")))</f>
        <v>Normal</v>
      </c>
      <c r="G8" s="87">
        <v>39953</v>
      </c>
      <c r="H8" s="15">
        <f t="shared" ref="H8:H41" ca="1" si="2">DATEDIF(G8,TODAY(),"Y")</f>
        <v>14</v>
      </c>
      <c r="I8" s="92">
        <v>240000</v>
      </c>
      <c r="K8" s="17" t="s">
        <v>128</v>
      </c>
      <c r="L8" s="64">
        <f>AVERAGE(C7:C41)</f>
        <v>1.4617142857142855</v>
      </c>
    </row>
    <row r="9" spans="1:14">
      <c r="A9" s="17">
        <v>3</v>
      </c>
      <c r="B9" s="17" t="s">
        <v>127</v>
      </c>
      <c r="C9" s="20">
        <v>1.47</v>
      </c>
      <c r="D9" s="13">
        <v>52</v>
      </c>
      <c r="E9" s="23">
        <f t="shared" si="0"/>
        <v>24.064047387662551</v>
      </c>
      <c r="F9" s="15" t="str">
        <f t="shared" si="1"/>
        <v>Normal</v>
      </c>
      <c r="G9" s="87">
        <v>39747</v>
      </c>
      <c r="H9" s="15">
        <f t="shared" ca="1" si="2"/>
        <v>15</v>
      </c>
      <c r="I9" s="92">
        <v>240000</v>
      </c>
      <c r="K9" s="17" t="s">
        <v>126</v>
      </c>
      <c r="L9" s="66">
        <f ca="1">AVERAGE(H7:H41)</f>
        <v>14.2</v>
      </c>
    </row>
    <row r="10" spans="1:14">
      <c r="A10" s="17">
        <v>4</v>
      </c>
      <c r="B10" s="17" t="s">
        <v>125</v>
      </c>
      <c r="C10" s="20">
        <v>1.6</v>
      </c>
      <c r="D10" s="13">
        <v>55</v>
      </c>
      <c r="E10" s="23">
        <f t="shared" si="0"/>
        <v>21.484374999999996</v>
      </c>
      <c r="F10" s="15" t="str">
        <f t="shared" si="1"/>
        <v>Normal</v>
      </c>
      <c r="G10" s="87">
        <v>37690</v>
      </c>
      <c r="H10" s="15">
        <f t="shared" ca="1" si="2"/>
        <v>20</v>
      </c>
      <c r="I10" s="92">
        <v>280000</v>
      </c>
    </row>
    <row r="11" spans="1:14">
      <c r="A11" s="17">
        <v>5</v>
      </c>
      <c r="B11" s="17" t="s">
        <v>124</v>
      </c>
      <c r="C11" s="20">
        <v>1.2</v>
      </c>
      <c r="D11" s="13">
        <v>55</v>
      </c>
      <c r="E11" s="23">
        <f t="shared" si="0"/>
        <v>38.194444444444443</v>
      </c>
      <c r="F11" s="15" t="str">
        <f t="shared" si="1"/>
        <v>Con Sobre Peso</v>
      </c>
      <c r="G11" s="87">
        <v>40833</v>
      </c>
      <c r="H11" s="15">
        <f t="shared" ca="1" si="2"/>
        <v>12</v>
      </c>
      <c r="I11" s="92"/>
    </row>
    <row r="12" spans="1:14">
      <c r="A12" s="17">
        <v>6</v>
      </c>
      <c r="B12" s="17" t="s">
        <v>123</v>
      </c>
      <c r="C12" s="20">
        <v>1.4</v>
      </c>
      <c r="D12" s="13">
        <v>35</v>
      </c>
      <c r="E12" s="23">
        <f t="shared" si="0"/>
        <v>17.857142857142861</v>
      </c>
      <c r="F12" s="15" t="str">
        <f t="shared" si="1"/>
        <v>Falto de Peso</v>
      </c>
      <c r="G12" s="87">
        <v>39463</v>
      </c>
      <c r="H12" s="15">
        <f t="shared" ca="1" si="2"/>
        <v>16</v>
      </c>
      <c r="I12" s="92"/>
      <c r="K12" s="33" t="s">
        <v>150</v>
      </c>
      <c r="L12" s="17">
        <f>COUNTA(B7:B41)</f>
        <v>35</v>
      </c>
      <c r="M12" s="10" t="s">
        <v>151</v>
      </c>
      <c r="N12" s="10" t="s">
        <v>152</v>
      </c>
    </row>
    <row r="13" spans="1:14">
      <c r="A13" s="17">
        <v>7</v>
      </c>
      <c r="B13" s="17" t="s">
        <v>122</v>
      </c>
      <c r="C13" s="20">
        <v>1.64</v>
      </c>
      <c r="D13" s="13">
        <v>57</v>
      </c>
      <c r="E13" s="23">
        <f t="shared" si="0"/>
        <v>21.192742415229034</v>
      </c>
      <c r="F13" s="15" t="str">
        <f t="shared" si="1"/>
        <v>Normal</v>
      </c>
      <c r="G13" s="87">
        <v>39680</v>
      </c>
      <c r="H13" s="15">
        <f t="shared" ca="1" si="2"/>
        <v>15</v>
      </c>
      <c r="I13" s="92"/>
    </row>
    <row r="14" spans="1:14" ht="15">
      <c r="A14" s="17">
        <v>8</v>
      </c>
      <c r="B14" s="17" t="s">
        <v>121</v>
      </c>
      <c r="C14" s="20">
        <v>1.65</v>
      </c>
      <c r="D14" s="13">
        <v>58</v>
      </c>
      <c r="E14" s="23">
        <f t="shared" si="0"/>
        <v>21.30394857667585</v>
      </c>
      <c r="F14" s="15" t="str">
        <f t="shared" si="1"/>
        <v>Normal</v>
      </c>
      <c r="G14" s="87">
        <v>39887</v>
      </c>
      <c r="H14" s="15">
        <f t="shared" ca="1" si="2"/>
        <v>14</v>
      </c>
      <c r="I14" s="92"/>
      <c r="K14"/>
      <c r="L14"/>
      <c r="M14"/>
      <c r="N14"/>
    </row>
    <row r="15" spans="1:14">
      <c r="A15" s="17">
        <v>9</v>
      </c>
      <c r="B15" s="17" t="s">
        <v>120</v>
      </c>
      <c r="C15" s="20">
        <v>1.6</v>
      </c>
      <c r="D15" s="13">
        <v>58</v>
      </c>
      <c r="E15" s="23">
        <f t="shared" si="0"/>
        <v>22.656249999999996</v>
      </c>
      <c r="F15" s="15" t="str">
        <f t="shared" si="1"/>
        <v>Normal</v>
      </c>
      <c r="G15" s="87">
        <v>40235</v>
      </c>
      <c r="H15" s="15">
        <f t="shared" ca="1" si="2"/>
        <v>14</v>
      </c>
      <c r="I15" s="92">
        <v>200000</v>
      </c>
      <c r="K15" s="138" t="s">
        <v>153</v>
      </c>
      <c r="L15" s="139"/>
    </row>
    <row r="16" spans="1:14">
      <c r="A16" s="17">
        <v>10</v>
      </c>
      <c r="B16" s="17" t="s">
        <v>119</v>
      </c>
      <c r="C16" s="20">
        <v>1.5</v>
      </c>
      <c r="D16" s="13">
        <v>59</v>
      </c>
      <c r="E16" s="23">
        <f t="shared" si="0"/>
        <v>26.222222222222221</v>
      </c>
      <c r="F16" s="15" t="str">
        <f t="shared" si="1"/>
        <v>Con Sobre Peso</v>
      </c>
      <c r="G16" s="87">
        <v>40399</v>
      </c>
      <c r="H16" s="15">
        <f t="shared" ca="1" si="2"/>
        <v>13</v>
      </c>
      <c r="I16" s="92">
        <v>200000</v>
      </c>
      <c r="K16" s="18" t="s">
        <v>154</v>
      </c>
      <c r="L16" s="18" t="s">
        <v>155</v>
      </c>
    </row>
    <row r="17" spans="1:12">
      <c r="A17" s="17">
        <v>11</v>
      </c>
      <c r="B17" s="17" t="s">
        <v>118</v>
      </c>
      <c r="C17" s="20">
        <v>1.4</v>
      </c>
      <c r="D17" s="13">
        <v>59</v>
      </c>
      <c r="E17" s="23">
        <f t="shared" si="0"/>
        <v>30.102040816326536</v>
      </c>
      <c r="F17" s="15" t="str">
        <f t="shared" si="1"/>
        <v>Con Sobre Peso</v>
      </c>
      <c r="G17" s="87">
        <v>40566</v>
      </c>
      <c r="H17" s="15">
        <f t="shared" ca="1" si="2"/>
        <v>13</v>
      </c>
      <c r="I17" s="92">
        <v>200000</v>
      </c>
      <c r="K17" s="19">
        <f>COUNT(I7:I41)</f>
        <v>23</v>
      </c>
      <c r="L17" s="19">
        <f>COUNTBLANK(I7:I41)</f>
        <v>12</v>
      </c>
    </row>
    <row r="18" spans="1:12">
      <c r="A18" s="17">
        <v>12</v>
      </c>
      <c r="B18" s="17" t="s">
        <v>117</v>
      </c>
      <c r="C18" s="20">
        <v>1.72</v>
      </c>
      <c r="D18" s="13">
        <v>63</v>
      </c>
      <c r="E18" s="23">
        <f t="shared" si="0"/>
        <v>21.295294753921041</v>
      </c>
      <c r="F18" s="15" t="str">
        <f t="shared" si="1"/>
        <v>Normal</v>
      </c>
      <c r="G18" s="87">
        <v>39114</v>
      </c>
      <c r="H18" s="15">
        <f t="shared" ca="1" si="2"/>
        <v>17</v>
      </c>
      <c r="I18" s="92">
        <v>240000</v>
      </c>
    </row>
    <row r="19" spans="1:12">
      <c r="A19" s="17">
        <v>13</v>
      </c>
      <c r="B19" s="17" t="s">
        <v>116</v>
      </c>
      <c r="C19" s="20">
        <v>1.6</v>
      </c>
      <c r="D19" s="13">
        <v>68</v>
      </c>
      <c r="E19" s="23">
        <f t="shared" si="0"/>
        <v>26.562499999999996</v>
      </c>
      <c r="F19" s="15" t="str">
        <f t="shared" si="1"/>
        <v>Con Sobre Peso</v>
      </c>
      <c r="G19" s="87">
        <v>39192</v>
      </c>
      <c r="H19" s="15">
        <f t="shared" ca="1" si="2"/>
        <v>16</v>
      </c>
      <c r="I19" s="92">
        <v>240000</v>
      </c>
    </row>
    <row r="20" spans="1:12">
      <c r="A20" s="17">
        <v>14</v>
      </c>
      <c r="B20" s="17" t="s">
        <v>115</v>
      </c>
      <c r="C20" s="20">
        <v>1.22</v>
      </c>
      <c r="D20" s="13">
        <v>30</v>
      </c>
      <c r="E20" s="23">
        <f t="shared" si="0"/>
        <v>20.155872077398548</v>
      </c>
      <c r="F20" s="15" t="str">
        <f t="shared" si="1"/>
        <v>Normal</v>
      </c>
      <c r="G20" s="87">
        <v>40624</v>
      </c>
      <c r="H20" s="15">
        <f t="shared" ca="1" si="2"/>
        <v>12</v>
      </c>
      <c r="I20" s="92"/>
    </row>
    <row r="21" spans="1:12">
      <c r="A21" s="17">
        <v>15</v>
      </c>
      <c r="B21" s="17" t="s">
        <v>114</v>
      </c>
      <c r="C21" s="20">
        <v>1.45</v>
      </c>
      <c r="D21" s="13">
        <v>45</v>
      </c>
      <c r="E21" s="23">
        <f t="shared" si="0"/>
        <v>21.403091557669441</v>
      </c>
      <c r="F21" s="15" t="str">
        <f t="shared" si="1"/>
        <v>Normal</v>
      </c>
      <c r="G21" s="87">
        <v>39312</v>
      </c>
      <c r="H21" s="15">
        <f t="shared" ca="1" si="2"/>
        <v>16</v>
      </c>
      <c r="I21" s="92">
        <v>240000</v>
      </c>
      <c r="K21" s="134" t="s">
        <v>184</v>
      </c>
      <c r="L21" s="134"/>
    </row>
    <row r="22" spans="1:12">
      <c r="A22" s="17">
        <v>16</v>
      </c>
      <c r="B22" s="17" t="s">
        <v>113</v>
      </c>
      <c r="C22" s="20">
        <v>1.35</v>
      </c>
      <c r="D22" s="13">
        <v>30</v>
      </c>
      <c r="E22" s="23">
        <f t="shared" si="0"/>
        <v>16.460905349794238</v>
      </c>
      <c r="F22" s="15" t="str">
        <f t="shared" si="1"/>
        <v>Falto de Peso</v>
      </c>
      <c r="G22" s="87">
        <v>40583</v>
      </c>
      <c r="H22" s="15">
        <f t="shared" ca="1" si="2"/>
        <v>13</v>
      </c>
      <c r="I22" s="92">
        <v>200000</v>
      </c>
      <c r="K22" s="134"/>
      <c r="L22" s="134"/>
    </row>
    <row r="23" spans="1:12">
      <c r="A23" s="17">
        <v>17</v>
      </c>
      <c r="B23" s="17" t="s">
        <v>112</v>
      </c>
      <c r="C23" s="20">
        <v>1.41</v>
      </c>
      <c r="D23" s="13">
        <v>40</v>
      </c>
      <c r="E23" s="23">
        <f t="shared" si="0"/>
        <v>20.119712288114282</v>
      </c>
      <c r="F23" s="15" t="str">
        <f t="shared" si="1"/>
        <v>Normal</v>
      </c>
      <c r="G23" s="87">
        <v>39960</v>
      </c>
      <c r="H23" s="15">
        <f t="shared" ca="1" si="2"/>
        <v>14</v>
      </c>
      <c r="I23" s="92"/>
      <c r="K23" s="22" t="s">
        <v>88</v>
      </c>
      <c r="L23" s="72">
        <f>AVERAGEIF($F$7:$F$41,"CON SOBRE PESO",$C$7:$C$41)</f>
        <v>1.4042857142857144</v>
      </c>
    </row>
    <row r="24" spans="1:12">
      <c r="A24" s="17">
        <v>18</v>
      </c>
      <c r="B24" s="17" t="s">
        <v>111</v>
      </c>
      <c r="C24" s="20">
        <v>1.35</v>
      </c>
      <c r="D24" s="13">
        <v>43</v>
      </c>
      <c r="E24" s="23">
        <f t="shared" si="0"/>
        <v>23.593964334705074</v>
      </c>
      <c r="F24" s="15" t="str">
        <f t="shared" si="1"/>
        <v>Normal</v>
      </c>
      <c r="G24" s="87">
        <v>40741</v>
      </c>
      <c r="H24" s="15">
        <f t="shared" ca="1" si="2"/>
        <v>12</v>
      </c>
      <c r="I24" s="92"/>
      <c r="K24" s="21" t="s">
        <v>89</v>
      </c>
      <c r="L24" s="72">
        <f>AVERAGEIF($F$7:$F$41,"NORMAL",$C$7:$C$41)</f>
        <v>1.4756521739130435</v>
      </c>
    </row>
    <row r="25" spans="1:12">
      <c r="A25" s="17">
        <v>19</v>
      </c>
      <c r="B25" s="17" t="s">
        <v>110</v>
      </c>
      <c r="C25" s="20">
        <v>1.3</v>
      </c>
      <c r="D25" s="13">
        <v>45</v>
      </c>
      <c r="E25" s="23">
        <f t="shared" si="0"/>
        <v>26.627218934911241</v>
      </c>
      <c r="F25" s="15" t="str">
        <f t="shared" si="1"/>
        <v>Con Sobre Peso</v>
      </c>
      <c r="G25" s="87">
        <v>40719</v>
      </c>
      <c r="H25" s="15">
        <f t="shared" ca="1" si="2"/>
        <v>12</v>
      </c>
      <c r="I25" s="92"/>
      <c r="K25" s="21" t="s">
        <v>90</v>
      </c>
      <c r="L25" s="72">
        <f>AVERAGEIF($F$7:$F$41,"FALTO DE PESO",$C$7:$C$41)</f>
        <v>1.4780000000000002</v>
      </c>
    </row>
    <row r="26" spans="1:12">
      <c r="A26" s="17">
        <v>20</v>
      </c>
      <c r="B26" s="17" t="s">
        <v>109</v>
      </c>
      <c r="C26" s="20">
        <v>1.59</v>
      </c>
      <c r="D26" s="13">
        <v>42</v>
      </c>
      <c r="E26" s="23">
        <f t="shared" si="0"/>
        <v>16.613266880265812</v>
      </c>
      <c r="F26" s="15" t="str">
        <f t="shared" si="1"/>
        <v>Falto de Peso</v>
      </c>
      <c r="G26" s="87">
        <v>39656</v>
      </c>
      <c r="H26" s="15">
        <f t="shared" ca="1" si="2"/>
        <v>15</v>
      </c>
      <c r="I26" s="92">
        <v>240000</v>
      </c>
    </row>
    <row r="27" spans="1:12">
      <c r="A27" s="17">
        <v>21</v>
      </c>
      <c r="B27" s="17" t="s">
        <v>108</v>
      </c>
      <c r="C27" s="20">
        <v>1.49</v>
      </c>
      <c r="D27" s="13">
        <v>49</v>
      </c>
      <c r="E27" s="23">
        <f t="shared" si="0"/>
        <v>22.071077879374805</v>
      </c>
      <c r="F27" s="15" t="str">
        <f t="shared" si="1"/>
        <v>Normal</v>
      </c>
      <c r="G27" s="87">
        <v>39433</v>
      </c>
      <c r="H27" s="15">
        <f t="shared" ca="1" si="2"/>
        <v>16</v>
      </c>
      <c r="I27" s="92">
        <v>240000</v>
      </c>
    </row>
    <row r="28" spans="1:12">
      <c r="A28" s="17">
        <v>22</v>
      </c>
      <c r="B28" s="17" t="s">
        <v>107</v>
      </c>
      <c r="C28" s="20">
        <v>1.35</v>
      </c>
      <c r="D28" s="13">
        <v>40</v>
      </c>
      <c r="E28" s="23">
        <f t="shared" si="0"/>
        <v>21.947873799725649</v>
      </c>
      <c r="F28" s="15" t="str">
        <f t="shared" si="1"/>
        <v>Normal</v>
      </c>
      <c r="G28" s="87">
        <v>40162</v>
      </c>
      <c r="H28" s="15">
        <f t="shared" ca="1" si="2"/>
        <v>14</v>
      </c>
      <c r="I28" s="92">
        <v>240000</v>
      </c>
    </row>
    <row r="29" spans="1:12">
      <c r="A29" s="17">
        <v>23</v>
      </c>
      <c r="B29" s="17" t="s">
        <v>106</v>
      </c>
      <c r="C29" s="20">
        <v>1.78</v>
      </c>
      <c r="D29" s="13">
        <v>53</v>
      </c>
      <c r="E29" s="23">
        <f t="shared" si="0"/>
        <v>16.72768589824517</v>
      </c>
      <c r="F29" s="15" t="str">
        <f t="shared" si="1"/>
        <v>Falto de Peso</v>
      </c>
      <c r="G29" s="87">
        <v>40649</v>
      </c>
      <c r="H29" s="15">
        <f t="shared" ca="1" si="2"/>
        <v>12</v>
      </c>
      <c r="I29" s="92"/>
    </row>
    <row r="30" spans="1:12">
      <c r="A30" s="17">
        <v>24</v>
      </c>
      <c r="B30" s="17" t="s">
        <v>105</v>
      </c>
      <c r="C30" s="20">
        <v>1.47</v>
      </c>
      <c r="D30" s="13">
        <v>54</v>
      </c>
      <c r="E30" s="23">
        <f t="shared" si="0"/>
        <v>24.989587671803417</v>
      </c>
      <c r="F30" s="15" t="str">
        <f t="shared" si="1"/>
        <v>Normal</v>
      </c>
      <c r="G30" s="87">
        <v>39758</v>
      </c>
      <c r="H30" s="15">
        <f t="shared" ca="1" si="2"/>
        <v>15</v>
      </c>
      <c r="I30" s="92">
        <v>240000</v>
      </c>
    </row>
    <row r="31" spans="1:12">
      <c r="A31" s="17">
        <v>25</v>
      </c>
      <c r="B31" s="17" t="s">
        <v>104</v>
      </c>
      <c r="C31" s="20">
        <v>1.62</v>
      </c>
      <c r="D31" s="13">
        <v>54</v>
      </c>
      <c r="E31" s="23">
        <f t="shared" si="0"/>
        <v>20.576131687242793</v>
      </c>
      <c r="F31" s="15" t="str">
        <f t="shared" si="1"/>
        <v>Normal</v>
      </c>
      <c r="G31" s="87">
        <v>39575</v>
      </c>
      <c r="H31" s="15">
        <f t="shared" ca="1" si="2"/>
        <v>15</v>
      </c>
      <c r="I31" s="92">
        <v>240000</v>
      </c>
    </row>
    <row r="32" spans="1:12">
      <c r="A32" s="17">
        <v>26</v>
      </c>
      <c r="B32" s="17" t="s">
        <v>103</v>
      </c>
      <c r="C32" s="20">
        <v>1.57</v>
      </c>
      <c r="D32" s="13">
        <v>48</v>
      </c>
      <c r="E32" s="23">
        <f t="shared" si="0"/>
        <v>19.473406629072173</v>
      </c>
      <c r="F32" s="15" t="str">
        <f t="shared" si="1"/>
        <v>Normal</v>
      </c>
      <c r="G32" s="87">
        <v>39828</v>
      </c>
      <c r="H32" s="15">
        <f t="shared" ca="1" si="2"/>
        <v>15</v>
      </c>
      <c r="I32" s="92">
        <v>240000</v>
      </c>
    </row>
    <row r="33" spans="1:9">
      <c r="A33" s="17">
        <v>27</v>
      </c>
      <c r="B33" s="17" t="s">
        <v>102</v>
      </c>
      <c r="C33" s="20">
        <v>1.43</v>
      </c>
      <c r="D33" s="13">
        <v>48</v>
      </c>
      <c r="E33" s="23">
        <f t="shared" si="0"/>
        <v>23.473030466037461</v>
      </c>
      <c r="F33" s="15" t="str">
        <f t="shared" si="1"/>
        <v>Normal</v>
      </c>
      <c r="G33" s="87">
        <v>39327</v>
      </c>
      <c r="H33" s="15">
        <f t="shared" ca="1" si="2"/>
        <v>16</v>
      </c>
      <c r="I33" s="92">
        <v>240000</v>
      </c>
    </row>
    <row r="34" spans="1:9">
      <c r="A34" s="17">
        <v>28</v>
      </c>
      <c r="B34" s="17" t="s">
        <v>101</v>
      </c>
      <c r="C34" s="20">
        <v>1.51</v>
      </c>
      <c r="D34" s="13">
        <v>59</v>
      </c>
      <c r="E34" s="23">
        <f t="shared" si="0"/>
        <v>25.876058067628612</v>
      </c>
      <c r="F34" s="15" t="str">
        <f t="shared" si="1"/>
        <v>Con Sobre Peso</v>
      </c>
      <c r="G34" s="87">
        <v>39722</v>
      </c>
      <c r="H34" s="15">
        <f t="shared" ca="1" si="2"/>
        <v>15</v>
      </c>
      <c r="I34" s="92"/>
    </row>
    <row r="35" spans="1:9">
      <c r="A35" s="17">
        <v>29</v>
      </c>
      <c r="B35" s="17" t="s">
        <v>100</v>
      </c>
      <c r="C35" s="20">
        <v>1.63</v>
      </c>
      <c r="D35" s="13">
        <v>61</v>
      </c>
      <c r="E35" s="23">
        <f t="shared" si="0"/>
        <v>22.959087658549439</v>
      </c>
      <c r="F35" s="15" t="str">
        <f t="shared" si="1"/>
        <v>Normal</v>
      </c>
      <c r="G35" s="87">
        <v>39993</v>
      </c>
      <c r="H35" s="15">
        <f t="shared" ca="1" si="2"/>
        <v>14</v>
      </c>
      <c r="I35" s="92"/>
    </row>
    <row r="36" spans="1:9">
      <c r="A36" s="17">
        <v>30</v>
      </c>
      <c r="B36" s="17" t="s">
        <v>99</v>
      </c>
      <c r="C36" s="20">
        <v>1.3</v>
      </c>
      <c r="D36" s="13">
        <v>38</v>
      </c>
      <c r="E36" s="23">
        <f t="shared" si="0"/>
        <v>22.485207100591715</v>
      </c>
      <c r="F36" s="15" t="str">
        <f t="shared" si="1"/>
        <v>Normal</v>
      </c>
      <c r="G36" s="87">
        <v>40270</v>
      </c>
      <c r="H36" s="15">
        <f t="shared" ca="1" si="2"/>
        <v>13</v>
      </c>
      <c r="I36" s="92">
        <v>200000</v>
      </c>
    </row>
    <row r="37" spans="1:9">
      <c r="A37" s="17">
        <v>31</v>
      </c>
      <c r="B37" s="17" t="s">
        <v>98</v>
      </c>
      <c r="C37" s="20">
        <v>1.32</v>
      </c>
      <c r="D37" s="13">
        <v>45</v>
      </c>
      <c r="E37" s="23">
        <f t="shared" si="0"/>
        <v>25.826446280991732</v>
      </c>
      <c r="F37" s="15" t="str">
        <f t="shared" si="1"/>
        <v>Con Sobre Peso</v>
      </c>
      <c r="G37" s="87">
        <v>40228</v>
      </c>
      <c r="H37" s="15">
        <f t="shared" ca="1" si="2"/>
        <v>14</v>
      </c>
      <c r="I37" s="92">
        <v>200000</v>
      </c>
    </row>
    <row r="38" spans="1:9">
      <c r="A38" s="17">
        <v>32</v>
      </c>
      <c r="B38" s="17" t="s">
        <v>97</v>
      </c>
      <c r="C38" s="20">
        <v>1.3</v>
      </c>
      <c r="D38" s="13">
        <v>36</v>
      </c>
      <c r="E38" s="23">
        <f t="shared" si="0"/>
        <v>21.301775147928993</v>
      </c>
      <c r="F38" s="15" t="str">
        <f t="shared" si="1"/>
        <v>Normal</v>
      </c>
      <c r="G38" s="87">
        <v>40732</v>
      </c>
      <c r="H38" s="15">
        <f t="shared" ca="1" si="2"/>
        <v>12</v>
      </c>
      <c r="I38" s="92">
        <v>200000</v>
      </c>
    </row>
    <row r="39" spans="1:9">
      <c r="A39" s="17">
        <v>33</v>
      </c>
      <c r="B39" s="17" t="s">
        <v>96</v>
      </c>
      <c r="C39" s="20">
        <v>1.27</v>
      </c>
      <c r="D39" s="13">
        <v>28</v>
      </c>
      <c r="E39" s="23">
        <f t="shared" si="0"/>
        <v>17.360034720069439</v>
      </c>
      <c r="F39" s="15" t="str">
        <f t="shared" si="1"/>
        <v>Falto de Peso</v>
      </c>
      <c r="G39" s="87">
        <v>41235</v>
      </c>
      <c r="H39" s="15">
        <f t="shared" ca="1" si="2"/>
        <v>11</v>
      </c>
      <c r="I39" s="92">
        <v>200000</v>
      </c>
    </row>
    <row r="40" spans="1:9">
      <c r="A40" s="17">
        <v>34</v>
      </c>
      <c r="B40" s="17" t="s">
        <v>95</v>
      </c>
      <c r="C40" s="20">
        <v>1.35</v>
      </c>
      <c r="D40" s="13">
        <v>35</v>
      </c>
      <c r="E40" s="89">
        <f t="shared" si="0"/>
        <v>19.204389574759944</v>
      </c>
      <c r="F40" s="15" t="str">
        <f t="shared" si="1"/>
        <v>Normal</v>
      </c>
      <c r="G40" s="87">
        <v>40557</v>
      </c>
      <c r="H40" s="15">
        <f t="shared" ca="1" si="2"/>
        <v>13</v>
      </c>
      <c r="I40" s="92"/>
    </row>
    <row r="41" spans="1:9">
      <c r="A41" s="17">
        <v>35</v>
      </c>
      <c r="B41" s="17" t="s">
        <v>94</v>
      </c>
      <c r="C41" s="20">
        <v>1.32</v>
      </c>
      <c r="D41" s="91">
        <v>32</v>
      </c>
      <c r="E41" s="20">
        <f t="shared" si="0"/>
        <v>18.365472910927455</v>
      </c>
      <c r="F41" s="15" t="str">
        <f t="shared" si="1"/>
        <v>Normal</v>
      </c>
      <c r="G41" s="87">
        <v>40324</v>
      </c>
      <c r="H41" s="15">
        <f t="shared" ca="1" si="2"/>
        <v>13</v>
      </c>
      <c r="I41" s="92">
        <v>200000</v>
      </c>
    </row>
    <row r="42" spans="1:9">
      <c r="E42" s="90"/>
      <c r="F42" s="135" t="s">
        <v>93</v>
      </c>
      <c r="G42" s="135"/>
      <c r="H42" s="136"/>
      <c r="I42" s="93">
        <f>SUM(I7:I41)</f>
        <v>5200000</v>
      </c>
    </row>
    <row r="43" spans="1:9">
      <c r="F43" s="11"/>
      <c r="G43" s="11"/>
    </row>
    <row r="44" spans="1:9">
      <c r="B44" s="133" t="s">
        <v>183</v>
      </c>
      <c r="C44" s="133"/>
      <c r="E44" s="134" t="s">
        <v>92</v>
      </c>
      <c r="F44" s="134"/>
    </row>
    <row r="45" spans="1:9">
      <c r="B45" s="18" t="s">
        <v>91</v>
      </c>
      <c r="C45" s="18" t="s">
        <v>27</v>
      </c>
      <c r="D45" s="11"/>
      <c r="E45" s="134"/>
      <c r="F45" s="134"/>
    </row>
    <row r="46" spans="1:9">
      <c r="B46" s="16" t="s">
        <v>90</v>
      </c>
      <c r="C46" s="15">
        <f>COUNTIF($F$7:$F$41,"falto de peso")</f>
        <v>5</v>
      </c>
      <c r="E46" s="19" t="s">
        <v>148</v>
      </c>
      <c r="F46" s="19">
        <f>COUNTIF($C$7:$C$41,"&gt;1,50")</f>
        <v>12</v>
      </c>
    </row>
    <row r="47" spans="1:9">
      <c r="B47" s="14" t="s">
        <v>89</v>
      </c>
      <c r="C47" s="15">
        <f>COUNTIF($F$7:$F$41,"normal")</f>
        <v>23</v>
      </c>
      <c r="E47" s="17" t="s">
        <v>149</v>
      </c>
      <c r="F47" s="19">
        <f>COUNTIF($C$7:$C$41,"&lt;=1,50")</f>
        <v>23</v>
      </c>
    </row>
    <row r="48" spans="1:9">
      <c r="B48" s="14" t="s">
        <v>88</v>
      </c>
      <c r="C48" s="15">
        <f>COUNTIF($F$7:$F$41,"con sobre peso")</f>
        <v>7</v>
      </c>
    </row>
    <row r="49" spans="1:10">
      <c r="B49" s="12"/>
      <c r="C49" s="11"/>
    </row>
    <row r="50" spans="1:10" ht="13.5" thickBot="1"/>
    <row r="51" spans="1:10" ht="15.75" thickBot="1">
      <c r="A51" s="37">
        <v>1</v>
      </c>
      <c r="B51" s="120" t="s">
        <v>156</v>
      </c>
      <c r="C51" s="120"/>
      <c r="D51" s="120"/>
      <c r="E51" s="120"/>
      <c r="F51" s="120"/>
      <c r="G51" s="120"/>
      <c r="H51" s="120"/>
      <c r="I51" s="120"/>
      <c r="J51" s="121"/>
    </row>
    <row r="52" spans="1:10" ht="15">
      <c r="A52" s="34">
        <v>2</v>
      </c>
      <c r="B52" s="126" t="s">
        <v>87</v>
      </c>
      <c r="C52" s="126"/>
      <c r="D52" s="126"/>
      <c r="E52" s="126"/>
      <c r="F52" s="126"/>
      <c r="G52" s="126"/>
      <c r="H52" s="126"/>
      <c r="I52" s="126"/>
      <c r="J52" s="127"/>
    </row>
    <row r="53" spans="1:10" ht="15.75" thickBot="1">
      <c r="A53" s="35"/>
      <c r="B53" s="128" t="s">
        <v>139</v>
      </c>
      <c r="C53" s="128"/>
      <c r="D53" s="128"/>
      <c r="E53" s="128"/>
      <c r="F53" s="128"/>
      <c r="G53" s="128"/>
      <c r="H53" s="128"/>
      <c r="I53" s="128"/>
      <c r="J53" s="129"/>
    </row>
    <row r="54" spans="1:10" ht="15.75" thickBot="1">
      <c r="A54" s="37">
        <v>3</v>
      </c>
      <c r="B54" s="120" t="s">
        <v>142</v>
      </c>
      <c r="C54" s="120"/>
      <c r="D54" s="120"/>
      <c r="E54" s="120"/>
      <c r="F54" s="120"/>
      <c r="G54" s="120"/>
      <c r="H54" s="120"/>
      <c r="I54" s="120"/>
      <c r="J54" s="121"/>
    </row>
    <row r="55" spans="1:10" ht="15.75" thickBot="1">
      <c r="A55" s="36">
        <v>4</v>
      </c>
      <c r="B55" s="122" t="s">
        <v>86</v>
      </c>
      <c r="C55" s="122"/>
      <c r="D55" s="122"/>
      <c r="E55" s="122"/>
      <c r="F55" s="122"/>
      <c r="G55" s="122"/>
      <c r="H55" s="122"/>
      <c r="I55" s="122"/>
      <c r="J55" s="123"/>
    </row>
    <row r="56" spans="1:10" ht="15.75" thickBot="1">
      <c r="A56" s="37">
        <v>5</v>
      </c>
      <c r="B56" s="120" t="s">
        <v>85</v>
      </c>
      <c r="C56" s="120"/>
      <c r="D56" s="120"/>
      <c r="E56" s="120"/>
      <c r="F56" s="120"/>
      <c r="G56" s="120"/>
      <c r="H56" s="120"/>
      <c r="I56" s="120"/>
      <c r="J56" s="121"/>
    </row>
    <row r="57" spans="1:10" ht="15.75" thickBot="1">
      <c r="A57" s="36">
        <v>6</v>
      </c>
      <c r="B57" s="122" t="s">
        <v>84</v>
      </c>
      <c r="C57" s="122"/>
      <c r="D57" s="122"/>
      <c r="E57" s="122"/>
      <c r="F57" s="122"/>
      <c r="G57" s="122"/>
      <c r="H57" s="122"/>
      <c r="I57" s="122"/>
      <c r="J57" s="123"/>
    </row>
    <row r="58" spans="1:10" ht="15.75" thickBot="1">
      <c r="A58" s="37">
        <v>7</v>
      </c>
      <c r="B58" s="120" t="s">
        <v>157</v>
      </c>
      <c r="C58" s="120"/>
      <c r="D58" s="120"/>
      <c r="E58" s="120"/>
      <c r="F58" s="120"/>
      <c r="G58" s="120"/>
      <c r="H58" s="120"/>
      <c r="I58" s="120"/>
      <c r="J58" s="121"/>
    </row>
    <row r="59" spans="1:10" ht="15.75" thickBot="1">
      <c r="A59" s="36">
        <v>8</v>
      </c>
      <c r="B59" s="122" t="s">
        <v>83</v>
      </c>
      <c r="C59" s="122"/>
      <c r="D59" s="122"/>
      <c r="E59" s="122"/>
      <c r="F59" s="122"/>
      <c r="G59" s="122"/>
      <c r="H59" s="122"/>
      <c r="I59" s="122"/>
      <c r="J59" s="123"/>
    </row>
    <row r="60" spans="1:10" ht="15">
      <c r="A60" s="38">
        <v>9</v>
      </c>
      <c r="B60" s="124" t="s">
        <v>82</v>
      </c>
      <c r="C60" s="124"/>
      <c r="D60" s="124"/>
      <c r="E60" s="124"/>
      <c r="F60" s="124"/>
      <c r="G60" s="124"/>
      <c r="H60" s="124"/>
      <c r="I60" s="124"/>
      <c r="J60" s="125"/>
    </row>
    <row r="61" spans="1:10" ht="15">
      <c r="A61" s="39"/>
      <c r="B61" s="116" t="s">
        <v>81</v>
      </c>
      <c r="C61" s="116"/>
      <c r="D61" s="116"/>
      <c r="E61" s="116"/>
      <c r="F61" s="116"/>
      <c r="G61" s="116"/>
      <c r="H61" s="116"/>
      <c r="I61" s="116"/>
      <c r="J61" s="117"/>
    </row>
    <row r="62" spans="1:10" ht="15">
      <c r="A62" s="39"/>
      <c r="B62" s="116" t="s">
        <v>80</v>
      </c>
      <c r="C62" s="116"/>
      <c r="D62" s="116"/>
      <c r="E62" s="116"/>
      <c r="F62" s="116"/>
      <c r="G62" s="116"/>
      <c r="H62" s="116"/>
      <c r="I62" s="116"/>
      <c r="J62" s="117"/>
    </row>
    <row r="63" spans="1:10" ht="15.75" thickBot="1">
      <c r="A63" s="40"/>
      <c r="B63" s="118" t="s">
        <v>79</v>
      </c>
      <c r="C63" s="118"/>
      <c r="D63" s="118"/>
      <c r="E63" s="118"/>
      <c r="F63" s="118"/>
      <c r="G63" s="118"/>
      <c r="H63" s="118"/>
      <c r="I63" s="118"/>
      <c r="J63" s="119"/>
    </row>
  </sheetData>
  <mergeCells count="23">
    <mergeCell ref="A2:I2"/>
    <mergeCell ref="A4:I4"/>
    <mergeCell ref="B5:D5"/>
    <mergeCell ref="B44:C44"/>
    <mergeCell ref="K21:L22"/>
    <mergeCell ref="F42:H42"/>
    <mergeCell ref="E44:F45"/>
    <mergeCell ref="H3:I3"/>
    <mergeCell ref="K5:L5"/>
    <mergeCell ref="K15:L15"/>
    <mergeCell ref="B51:J51"/>
    <mergeCell ref="B52:J52"/>
    <mergeCell ref="B53:J53"/>
    <mergeCell ref="B54:J54"/>
    <mergeCell ref="B55:J55"/>
    <mergeCell ref="B61:J61"/>
    <mergeCell ref="B62:J62"/>
    <mergeCell ref="B63:J63"/>
    <mergeCell ref="B56:J56"/>
    <mergeCell ref="B57:J57"/>
    <mergeCell ref="B58:J58"/>
    <mergeCell ref="B59:J59"/>
    <mergeCell ref="B60:J60"/>
  </mergeCells>
  <pageMargins left="0.75" right="0.75" top="1" bottom="1" header="0" footer="0"/>
  <pageSetup paperSize="9" orientation="portrait" horizontalDpi="300" verticalDpi="300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zoomScaleNormal="100" workbookViewId="0">
      <selection activeCell="H14" sqref="H14"/>
    </sheetView>
  </sheetViews>
  <sheetFormatPr baseColWidth="10" defaultRowHeight="15"/>
  <cols>
    <col min="1" max="1" width="17.7109375" customWidth="1"/>
    <col min="2" max="2" width="18.42578125" customWidth="1"/>
    <col min="3" max="3" width="10.5703125" bestFit="1" customWidth="1"/>
    <col min="4" max="4" width="6.28515625" customWidth="1"/>
    <col min="5" max="5" width="13.85546875" customWidth="1"/>
    <col min="6" max="6" width="36" customWidth="1"/>
    <col min="7" max="7" width="2.5703125" customWidth="1"/>
    <col min="9" max="9" width="19.85546875" customWidth="1"/>
    <col min="10" max="10" width="11.42578125" style="47"/>
  </cols>
  <sheetData>
    <row r="1" spans="1:10" ht="15.75">
      <c r="A1" s="55" t="s">
        <v>185</v>
      </c>
      <c r="B1" s="55" t="s">
        <v>186</v>
      </c>
      <c r="C1" s="55" t="s">
        <v>187</v>
      </c>
      <c r="D1" s="55" t="s">
        <v>134</v>
      </c>
      <c r="E1" s="55" t="s">
        <v>188</v>
      </c>
      <c r="F1" s="56" t="s">
        <v>189</v>
      </c>
    </row>
    <row r="2" spans="1:10" ht="15" customHeight="1">
      <c r="A2" s="2" t="s">
        <v>190</v>
      </c>
      <c r="B2" s="48">
        <v>1.68</v>
      </c>
      <c r="C2" s="48">
        <v>69</v>
      </c>
      <c r="D2" s="48">
        <f>C2/B2^2</f>
        <v>24.447278911564631</v>
      </c>
      <c r="E2" s="48" t="str">
        <f>IF(D2&lt;18.5,"Infrapeso",IF(AND(D2&gt;=18.5,D2&lt;=24.5),"normal",IF(AND(D2&gt;=25,D2&lt;=29),"sobrepeso",IF(D2&gt;=30,"obeso","error"))))</f>
        <v>normal</v>
      </c>
      <c r="F2" s="49" t="str">
        <f>IF(E2="infrapeso","Nesecita mejor alimentación",IF(E2="normal","Felicitaciones, continúe con su dieta",IF(E2="sobrepeso","Debe empezar una dieta de prevención",IF(E2="obeso","Debe empezar un tratamiento","Error"))))</f>
        <v>Felicitaciones, continúe con su dieta</v>
      </c>
      <c r="H2" s="140" t="s">
        <v>218</v>
      </c>
      <c r="I2" s="140"/>
      <c r="J2" s="140"/>
    </row>
    <row r="3" spans="1:10" ht="15" customHeight="1">
      <c r="A3" s="2" t="s">
        <v>191</v>
      </c>
      <c r="B3" s="48">
        <v>1.7</v>
      </c>
      <c r="C3" s="48">
        <v>50</v>
      </c>
      <c r="D3" s="48">
        <f t="shared" ref="D3:D9" si="0">C3/B3^2</f>
        <v>17.301038062283737</v>
      </c>
      <c r="E3" s="48" t="str">
        <f t="shared" ref="E3:E10" si="1">IF(D3&lt;18.5,"Infrapeso",IF(AND(D3&gt;=18.5,D3&lt;=24.5),"normal",IF(AND(D3&gt;=25,D3&lt;=29),"sobrepeso",IF(D3&gt;=30,"obeso","error"))))</f>
        <v>Infrapeso</v>
      </c>
      <c r="F3" s="49" t="str">
        <f t="shared" ref="F3:F10" si="2">IF(E3="infrapeso","Nesecita mejor alimentación",IF(E3="normal","Felicitaciones, continúe con su dieta",IF(E3="sobrepeso","Debe empezar una dieta de prevención",IF(E3="obeso","Debe empezar un tratamiento","Error"))))</f>
        <v>Nesecita mejor alimentación</v>
      </c>
      <c r="H3" s="58" t="s">
        <v>192</v>
      </c>
      <c r="I3" s="2" t="s">
        <v>193</v>
      </c>
      <c r="J3" s="50" t="s">
        <v>194</v>
      </c>
    </row>
    <row r="4" spans="1:10" ht="15" customHeight="1">
      <c r="A4" s="2" t="s">
        <v>195</v>
      </c>
      <c r="B4" s="48">
        <v>1.55</v>
      </c>
      <c r="C4" s="48">
        <v>82</v>
      </c>
      <c r="D4" s="48">
        <f t="shared" si="0"/>
        <v>34.131113423517164</v>
      </c>
      <c r="E4" s="48" t="str">
        <f t="shared" si="1"/>
        <v>obeso</v>
      </c>
      <c r="F4" s="49" t="str">
        <f t="shared" si="2"/>
        <v>Debe empezar un tratamiento</v>
      </c>
      <c r="H4" s="58" t="s">
        <v>89</v>
      </c>
      <c r="I4" s="2" t="s">
        <v>196</v>
      </c>
      <c r="J4" s="50" t="s">
        <v>197</v>
      </c>
    </row>
    <row r="5" spans="1:10" ht="15" customHeight="1">
      <c r="A5" s="2" t="s">
        <v>198</v>
      </c>
      <c r="B5" s="48">
        <v>1.65</v>
      </c>
      <c r="C5" s="48">
        <v>48</v>
      </c>
      <c r="D5" s="48">
        <f t="shared" si="0"/>
        <v>17.630853994490359</v>
      </c>
      <c r="E5" s="48" t="str">
        <f t="shared" si="1"/>
        <v>Infrapeso</v>
      </c>
      <c r="F5" s="49" t="str">
        <f t="shared" si="2"/>
        <v>Nesecita mejor alimentación</v>
      </c>
      <c r="H5" s="58" t="s">
        <v>88</v>
      </c>
      <c r="I5" s="2" t="s">
        <v>196</v>
      </c>
      <c r="J5" s="50" t="s">
        <v>199</v>
      </c>
    </row>
    <row r="6" spans="1:10" ht="15" customHeight="1">
      <c r="A6" s="2" t="s">
        <v>200</v>
      </c>
      <c r="B6" s="48">
        <v>1.89</v>
      </c>
      <c r="C6" s="48">
        <v>72</v>
      </c>
      <c r="D6" s="48">
        <f t="shared" si="0"/>
        <v>20.156210632401109</v>
      </c>
      <c r="E6" s="48" t="str">
        <f t="shared" si="1"/>
        <v>normal</v>
      </c>
      <c r="F6" s="49" t="str">
        <f t="shared" si="2"/>
        <v>Felicitaciones, continúe con su dieta</v>
      </c>
      <c r="H6" s="58" t="s">
        <v>201</v>
      </c>
      <c r="I6" s="2" t="s">
        <v>202</v>
      </c>
      <c r="J6" s="50">
        <v>30</v>
      </c>
    </row>
    <row r="7" spans="1:10" ht="15" customHeight="1">
      <c r="A7" s="2" t="s">
        <v>203</v>
      </c>
      <c r="B7" s="48">
        <v>1.78</v>
      </c>
      <c r="C7" s="48">
        <v>80</v>
      </c>
      <c r="D7" s="48">
        <f t="shared" si="0"/>
        <v>25.249337204898371</v>
      </c>
      <c r="E7" s="48" t="str">
        <f t="shared" si="1"/>
        <v>sobrepeso</v>
      </c>
      <c r="F7" s="49" t="str">
        <f t="shared" si="2"/>
        <v>Debe empezar una dieta de prevención</v>
      </c>
    </row>
    <row r="8" spans="1:10" ht="15" customHeight="1">
      <c r="A8" s="2" t="s">
        <v>204</v>
      </c>
      <c r="B8" s="48">
        <v>1.65</v>
      </c>
      <c r="C8" s="48">
        <v>90</v>
      </c>
      <c r="D8" s="48">
        <f t="shared" si="0"/>
        <v>33.057851239669425</v>
      </c>
      <c r="E8" s="48" t="str">
        <f t="shared" si="1"/>
        <v>obeso</v>
      </c>
      <c r="F8" s="49" t="str">
        <f t="shared" si="2"/>
        <v>Debe empezar un tratamiento</v>
      </c>
      <c r="H8" s="51"/>
    </row>
    <row r="9" spans="1:10" ht="15" customHeight="1">
      <c r="A9" s="2" t="s">
        <v>205</v>
      </c>
      <c r="B9" s="48">
        <v>1.82</v>
      </c>
      <c r="C9" s="48">
        <v>79</v>
      </c>
      <c r="D9" s="48">
        <f t="shared" si="0"/>
        <v>23.849776597029344</v>
      </c>
      <c r="E9" s="48" t="str">
        <f t="shared" si="1"/>
        <v>normal</v>
      </c>
      <c r="F9" s="49" t="str">
        <f t="shared" si="2"/>
        <v>Felicitaciones, continúe con su dieta</v>
      </c>
      <c r="H9" s="51"/>
    </row>
    <row r="10" spans="1:10">
      <c r="A10" s="59" t="s">
        <v>266</v>
      </c>
      <c r="B10" s="48">
        <v>1.7</v>
      </c>
      <c r="C10" s="48">
        <v>64</v>
      </c>
      <c r="D10" s="48">
        <f>C10/B10^2</f>
        <v>22.145328719723185</v>
      </c>
      <c r="E10" s="48" t="str">
        <f t="shared" si="1"/>
        <v>normal</v>
      </c>
      <c r="F10" s="49" t="str">
        <f t="shared" si="2"/>
        <v>Felicitaciones, continúe con su dieta</v>
      </c>
      <c r="I10" s="2"/>
    </row>
    <row r="11" spans="1:10">
      <c r="H11" s="51"/>
    </row>
    <row r="12" spans="1:10">
      <c r="A12" t="s">
        <v>206</v>
      </c>
    </row>
    <row r="13" spans="1:10">
      <c r="A13" s="51" t="s">
        <v>207</v>
      </c>
      <c r="B13" s="51"/>
    </row>
    <row r="14" spans="1:10">
      <c r="A14" t="s">
        <v>219</v>
      </c>
    </row>
    <row r="15" spans="1:10">
      <c r="A15" s="141" t="s">
        <v>208</v>
      </c>
      <c r="B15" s="141"/>
      <c r="C15" s="141"/>
      <c r="D15" s="141"/>
      <c r="E15" s="141"/>
    </row>
    <row r="16" spans="1:10">
      <c r="B16" s="57" t="s">
        <v>209</v>
      </c>
      <c r="C16" s="53" t="s">
        <v>210</v>
      </c>
      <c r="D16" t="s">
        <v>211</v>
      </c>
    </row>
    <row r="17" spans="1:4">
      <c r="B17" s="57" t="s">
        <v>212</v>
      </c>
      <c r="C17" s="53" t="s">
        <v>210</v>
      </c>
      <c r="D17" t="s">
        <v>213</v>
      </c>
    </row>
    <row r="18" spans="1:4">
      <c r="B18" s="57" t="s">
        <v>214</v>
      </c>
      <c r="C18" s="53" t="s">
        <v>210</v>
      </c>
      <c r="D18" s="52" t="s">
        <v>215</v>
      </c>
    </row>
    <row r="19" spans="1:4">
      <c r="B19" s="57" t="s">
        <v>216</v>
      </c>
      <c r="C19" s="53" t="s">
        <v>210</v>
      </c>
      <c r="D19" s="52" t="s">
        <v>217</v>
      </c>
    </row>
    <row r="20" spans="1:4">
      <c r="B20" s="57" t="s">
        <v>220</v>
      </c>
      <c r="C20" s="53" t="s">
        <v>221</v>
      </c>
      <c r="D20" t="s">
        <v>222</v>
      </c>
    </row>
    <row r="21" spans="1:4">
      <c r="A21" s="54" t="s">
        <v>223</v>
      </c>
    </row>
  </sheetData>
  <mergeCells count="2">
    <mergeCell ref="H2:J2"/>
    <mergeCell ref="A15:E15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topLeftCell="A10" zoomScaleNormal="100" workbookViewId="0">
      <selection activeCell="H16" sqref="H16"/>
    </sheetView>
  </sheetViews>
  <sheetFormatPr baseColWidth="10" defaultRowHeight="12.75"/>
  <cols>
    <col min="1" max="1" width="13.28515625" style="10" customWidth="1"/>
    <col min="2" max="2" width="19.42578125" style="10" customWidth="1"/>
    <col min="3" max="3" width="20.28515625" style="10" customWidth="1"/>
    <col min="4" max="4" width="17" style="10" customWidth="1"/>
    <col min="5" max="5" width="17.7109375" style="10" customWidth="1"/>
    <col min="6" max="6" width="18.7109375" style="10" customWidth="1"/>
    <col min="7" max="16384" width="11.42578125" style="10"/>
  </cols>
  <sheetData>
    <row r="1" spans="1:7" ht="13.5" thickBot="1"/>
    <row r="2" spans="1:7" s="73" customFormat="1" ht="15" customHeight="1">
      <c r="A2" s="154"/>
      <c r="B2" s="157" t="s">
        <v>243</v>
      </c>
      <c r="C2" s="158"/>
      <c r="D2" s="158"/>
      <c r="E2" s="158"/>
      <c r="F2" s="158"/>
      <c r="G2" s="159"/>
    </row>
    <row r="3" spans="1:7" s="73" customFormat="1" ht="13.5" customHeight="1" thickBot="1">
      <c r="A3" s="155"/>
      <c r="B3" s="160" t="s">
        <v>244</v>
      </c>
      <c r="C3" s="161"/>
      <c r="D3" s="161"/>
      <c r="E3" s="161"/>
      <c r="F3" s="161"/>
      <c r="G3" s="162"/>
    </row>
    <row r="4" spans="1:7" s="73" customFormat="1" ht="15" customHeight="1">
      <c r="A4" s="155"/>
      <c r="B4" s="157" t="s">
        <v>245</v>
      </c>
      <c r="C4" s="158"/>
      <c r="D4" s="158"/>
      <c r="E4" s="158"/>
      <c r="F4" s="158"/>
      <c r="G4" s="159"/>
    </row>
    <row r="5" spans="1:7" s="73" customFormat="1" ht="15.75" customHeight="1" thickBot="1">
      <c r="A5" s="155"/>
      <c r="B5" s="163" t="s">
        <v>246</v>
      </c>
      <c r="C5" s="164"/>
      <c r="D5" s="164"/>
      <c r="E5" s="164"/>
      <c r="F5" s="164"/>
      <c r="G5" s="165"/>
    </row>
    <row r="6" spans="1:7" s="73" customFormat="1" ht="15.75" thickBot="1">
      <c r="A6" s="156"/>
      <c r="B6" s="166" t="s">
        <v>247</v>
      </c>
      <c r="C6" s="167"/>
      <c r="D6" s="166" t="s">
        <v>248</v>
      </c>
      <c r="E6" s="167"/>
      <c r="F6" s="166" t="s">
        <v>249</v>
      </c>
      <c r="G6" s="167"/>
    </row>
    <row r="9" spans="1:7" ht="26.25">
      <c r="A9" s="146" t="s">
        <v>250</v>
      </c>
      <c r="B9" s="146"/>
      <c r="C9" s="146"/>
      <c r="D9" s="146"/>
      <c r="E9" s="146"/>
      <c r="F9" s="146"/>
      <c r="G9" s="146"/>
    </row>
    <row r="10" spans="1:7" ht="13.5" thickBot="1"/>
    <row r="11" spans="1:7" ht="130.5" customHeight="1" thickBot="1">
      <c r="A11" s="147" t="s">
        <v>251</v>
      </c>
      <c r="B11" s="74" t="s">
        <v>252</v>
      </c>
      <c r="C11" s="75" t="s">
        <v>253</v>
      </c>
      <c r="D11" s="75" t="s">
        <v>254</v>
      </c>
      <c r="E11" s="75" t="s">
        <v>255</v>
      </c>
      <c r="F11" s="76" t="s">
        <v>256</v>
      </c>
      <c r="G11" s="149" t="s">
        <v>257</v>
      </c>
    </row>
    <row r="12" spans="1:7" ht="15.75" thickBot="1">
      <c r="A12" s="148"/>
      <c r="B12" s="77">
        <v>5</v>
      </c>
      <c r="C12" s="78">
        <v>4</v>
      </c>
      <c r="D12" s="78">
        <v>3</v>
      </c>
      <c r="E12" s="78">
        <v>2</v>
      </c>
      <c r="F12" s="79">
        <v>0</v>
      </c>
      <c r="G12" s="150"/>
    </row>
    <row r="13" spans="1:7" ht="13.5" thickBot="1">
      <c r="A13" s="19"/>
      <c r="B13" s="19"/>
      <c r="C13" s="19"/>
      <c r="D13" s="19"/>
      <c r="E13" s="19"/>
      <c r="F13" s="80"/>
      <c r="G13" s="151"/>
    </row>
    <row r="14" spans="1:7" ht="18">
      <c r="A14" s="81" t="s">
        <v>137</v>
      </c>
      <c r="B14" s="152" t="s">
        <v>258</v>
      </c>
      <c r="C14" s="153"/>
      <c r="D14" s="153"/>
      <c r="E14" s="153"/>
      <c r="F14" s="153"/>
      <c r="G14" s="19"/>
    </row>
    <row r="15" spans="1:7" ht="20.100000000000001" customHeight="1">
      <c r="A15" s="82">
        <v>1</v>
      </c>
      <c r="B15" s="142" t="s">
        <v>259</v>
      </c>
      <c r="C15" s="143"/>
      <c r="D15" s="143"/>
      <c r="E15" s="143"/>
      <c r="F15" s="144"/>
      <c r="G15" s="83"/>
    </row>
    <row r="16" spans="1:7" ht="20.100000000000001" customHeight="1">
      <c r="A16" s="82">
        <v>2</v>
      </c>
      <c r="B16" s="142" t="s">
        <v>260</v>
      </c>
      <c r="C16" s="143"/>
      <c r="D16" s="143"/>
      <c r="E16" s="143"/>
      <c r="F16" s="144"/>
      <c r="G16" s="83"/>
    </row>
    <row r="17" spans="1:7" ht="20.100000000000001" customHeight="1">
      <c r="A17" s="82">
        <v>3</v>
      </c>
      <c r="B17" s="142" t="s">
        <v>261</v>
      </c>
      <c r="C17" s="143"/>
      <c r="D17" s="143"/>
      <c r="E17" s="143"/>
      <c r="F17" s="144"/>
      <c r="G17" s="83"/>
    </row>
    <row r="18" spans="1:7" ht="20.100000000000001" customHeight="1">
      <c r="A18" s="82">
        <v>4</v>
      </c>
      <c r="B18" s="142" t="s">
        <v>262</v>
      </c>
      <c r="C18" s="143"/>
      <c r="D18" s="143"/>
      <c r="E18" s="143"/>
      <c r="F18" s="144"/>
      <c r="G18" s="83"/>
    </row>
    <row r="19" spans="1:7" ht="20.100000000000001" customHeight="1">
      <c r="A19" s="82">
        <v>5</v>
      </c>
      <c r="B19" s="142" t="s">
        <v>263</v>
      </c>
      <c r="C19" s="143"/>
      <c r="D19" s="143"/>
      <c r="E19" s="143"/>
      <c r="F19" s="144"/>
      <c r="G19" s="83"/>
    </row>
    <row r="20" spans="1:7">
      <c r="A20" s="145"/>
      <c r="B20" s="145"/>
      <c r="C20" s="145"/>
      <c r="D20" s="145"/>
      <c r="E20" s="145"/>
      <c r="F20" s="84" t="s">
        <v>264</v>
      </c>
      <c r="G20" s="85" t="e">
        <f>AVERAGE(G15:G19)</f>
        <v>#DIV/0!</v>
      </c>
    </row>
    <row r="23" spans="1:7">
      <c r="F23" s="86"/>
    </row>
  </sheetData>
  <mergeCells count="18">
    <mergeCell ref="A2:A6"/>
    <mergeCell ref="B2:G2"/>
    <mergeCell ref="B3:G3"/>
    <mergeCell ref="B4:G4"/>
    <mergeCell ref="B5:G5"/>
    <mergeCell ref="B6:C6"/>
    <mergeCell ref="D6:E6"/>
    <mergeCell ref="F6:G6"/>
    <mergeCell ref="B17:F17"/>
    <mergeCell ref="B18:F18"/>
    <mergeCell ref="B19:F19"/>
    <mergeCell ref="A20:E20"/>
    <mergeCell ref="A9:G9"/>
    <mergeCell ref="A11:A12"/>
    <mergeCell ref="G11:G13"/>
    <mergeCell ref="B14:F14"/>
    <mergeCell ref="B15:F15"/>
    <mergeCell ref="B16:F16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Objetivos</vt:lpstr>
      <vt:lpstr>empresa</vt:lpstr>
      <vt:lpstr>estadisticas</vt:lpstr>
      <vt:lpstr>alumnos</vt:lpstr>
      <vt:lpstr>nutricionista</vt:lpstr>
      <vt:lpstr>RUBRICA DE CALIFICACIÓN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censa</dc:creator>
  <cp:lastModifiedBy>Estudiante</cp:lastModifiedBy>
  <dcterms:created xsi:type="dcterms:W3CDTF">2011-06-25T04:14:17Z</dcterms:created>
  <dcterms:modified xsi:type="dcterms:W3CDTF">2024-03-05T21:01:02Z</dcterms:modified>
</cp:coreProperties>
</file>