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Z:\Pisciculturas Dona Frida\Dona Frida Engorda\Biometrias Tilapia\2025\"/>
    </mc:Choice>
  </mc:AlternateContent>
  <xr:revisionPtr revIDLastSave="0" documentId="13_ncr:1_{1783F3BF-DE53-4662-AD56-C34F4EEA7C6D}" xr6:coauthVersionLast="47" xr6:coauthVersionMax="47" xr10:uidLastSave="{00000000-0000-0000-0000-000000000000}"/>
  <bookViews>
    <workbookView xWindow="-120" yWindow="-120" windowWidth="20730" windowHeight="11040" tabRatio="417" xr2:uid="{00000000-000D-0000-FFFF-FFFF00000000}"/>
  </bookViews>
  <sheets>
    <sheet name="01 (2)" sheetId="9" r:id="rId1"/>
  </sheets>
  <definedNames>
    <definedName name="_xlnm.Print_Area" localSheetId="0">'01 (2)'!$4:$30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9" l="1"/>
  <c r="K15" i="9"/>
  <c r="J24" i="9"/>
  <c r="G29" i="9"/>
  <c r="J29" i="9"/>
  <c r="V28" i="9"/>
  <c r="T28" i="9"/>
  <c r="J28" i="9"/>
  <c r="N28" i="9" s="1"/>
  <c r="R28" i="9" l="1"/>
  <c r="S28" i="9" s="1"/>
  <c r="J27" i="9"/>
  <c r="R27" i="9"/>
  <c r="R29" i="9"/>
  <c r="V27" i="9"/>
  <c r="N24" i="9"/>
  <c r="N25" i="9"/>
  <c r="N27" i="9"/>
  <c r="T27" i="9" s="1"/>
  <c r="S27" i="9" s="1"/>
  <c r="N29" i="9"/>
  <c r="T29" i="9" s="1"/>
  <c r="J23" i="9"/>
  <c r="N23" i="9" s="1"/>
  <c r="T23" i="9" s="1"/>
  <c r="S29" i="9" l="1"/>
  <c r="R23" i="9"/>
  <c r="S23" i="9" s="1"/>
  <c r="J26" i="9"/>
  <c r="N26" i="9" s="1"/>
  <c r="T26" i="9" s="1"/>
  <c r="J22" i="9"/>
  <c r="N22" i="9" s="1"/>
  <c r="J15" i="9"/>
  <c r="N15" i="9" s="1"/>
  <c r="N17" i="9"/>
  <c r="K16" i="9"/>
  <c r="N16" i="9" s="1"/>
  <c r="N18" i="9"/>
  <c r="T21" i="9"/>
  <c r="T25" i="9"/>
  <c r="R21" i="9"/>
  <c r="R24" i="9"/>
  <c r="R25" i="9"/>
  <c r="R26" i="9"/>
  <c r="T24" i="9"/>
  <c r="V19" i="9"/>
  <c r="V20" i="9"/>
  <c r="V21" i="9"/>
  <c r="V22" i="9"/>
  <c r="V23" i="9"/>
  <c r="V24" i="9"/>
  <c r="V25" i="9"/>
  <c r="V26" i="9"/>
  <c r="V29" i="9"/>
  <c r="T20" i="9"/>
  <c r="R20" i="9"/>
  <c r="S26" i="9" l="1"/>
  <c r="J30" i="9"/>
  <c r="R22" i="9"/>
  <c r="T22" i="9"/>
  <c r="S22" i="9" s="1"/>
  <c r="G8" i="9"/>
  <c r="S21" i="9"/>
  <c r="S25" i="9"/>
  <c r="S20" i="9"/>
  <c r="S24" i="9"/>
  <c r="T17" i="9" l="1"/>
  <c r="V17" i="9"/>
  <c r="R17" i="9"/>
  <c r="R16" i="9"/>
  <c r="S17" i="9" l="1"/>
  <c r="T15" i="9"/>
  <c r="R18" i="9"/>
  <c r="T18" i="9"/>
  <c r="V18" i="9"/>
  <c r="R19" i="9"/>
  <c r="T19" i="9"/>
  <c r="V16" i="9"/>
  <c r="T16" i="9"/>
  <c r="V15" i="9"/>
  <c r="R15" i="9"/>
  <c r="F8" i="9" l="1"/>
  <c r="K8" i="9" s="1"/>
  <c r="S18" i="9"/>
  <c r="S19" i="9"/>
  <c r="S16" i="9"/>
  <c r="S15" i="9"/>
  <c r="I30" i="9" l="1"/>
  <c r="C30" i="9"/>
  <c r="R30" i="9" l="1"/>
  <c r="H30" i="9" l="1"/>
  <c r="N30" i="9"/>
  <c r="K30" i="9"/>
  <c r="T30" i="9" l="1"/>
</calcChain>
</file>

<file path=xl/sharedStrings.xml><?xml version="1.0" encoding="utf-8"?>
<sst xmlns="http://schemas.openxmlformats.org/spreadsheetml/2006/main" count="101" uniqueCount="54">
  <si>
    <t>UNID.PRODUÇÃO</t>
  </si>
  <si>
    <t>ESPÉCIE</t>
  </si>
  <si>
    <t>PESO ANTERIOR</t>
  </si>
  <si>
    <t>PESO ATUAL</t>
  </si>
  <si>
    <t>BIOM ATUAL</t>
  </si>
  <si>
    <t>RAÇÃO</t>
  </si>
  <si>
    <t>%CRESC.</t>
  </si>
  <si>
    <t>POVOAMENTO</t>
  </si>
  <si>
    <t>PESO DO POVOAMENTO</t>
  </si>
  <si>
    <t>BARRAGEM 03 PINH.</t>
  </si>
  <si>
    <t>BARRAGEM 01</t>
  </si>
  <si>
    <t>BARRAGEM 02</t>
  </si>
  <si>
    <t>BARRAGEM 03</t>
  </si>
  <si>
    <t>Nº DE PEIXES ATUAL</t>
  </si>
  <si>
    <t>Nº DE PEIXES ANTERIOR</t>
  </si>
  <si>
    <t>ULTIMA BIOMETRIA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</si>
  <si>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</si>
  <si>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</si>
  <si>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</si>
  <si>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</si>
  <si>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</si>
  <si>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</si>
  <si>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</si>
  <si>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</si>
  <si>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</si>
  <si>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</si>
  <si>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</si>
  <si>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</si>
  <si>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</si>
  <si>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PEIXES TRANSFERIDOS (PERIODO)</t>
  </si>
  <si>
    <t>-</t>
  </si>
  <si>
    <t xml:space="preserve">LOCAL DA TRANSFERÊNCIA </t>
  </si>
  <si>
    <t>TILAPIA</t>
  </si>
  <si>
    <t>TOTAL DE BIOMASSA TILAPIA</t>
  </si>
  <si>
    <t>BIOMASSA  ANTERIOR</t>
  </si>
  <si>
    <t>TANQUE 01</t>
  </si>
  <si>
    <t>TANQUE 02</t>
  </si>
  <si>
    <t>TANQUE 03</t>
  </si>
  <si>
    <t>TANQUE 04</t>
  </si>
  <si>
    <t>TANQUE 05</t>
  </si>
  <si>
    <t>TANQUE 06</t>
  </si>
  <si>
    <t>TANQUE 07</t>
  </si>
  <si>
    <t>TANQUE 08</t>
  </si>
  <si>
    <t>TANQUE 09</t>
  </si>
  <si>
    <t>TANQUE 10</t>
  </si>
  <si>
    <t>TANQUE 11</t>
  </si>
  <si>
    <t>TANQUE 12</t>
  </si>
  <si>
    <t>TANQUE 13</t>
  </si>
  <si>
    <t>TANQUE 14</t>
  </si>
  <si>
    <t>32%  4-6 mm</t>
  </si>
  <si>
    <t>TANQUE 15</t>
  </si>
  <si>
    <t>TANQUE 16</t>
  </si>
  <si>
    <t>Posição até 27//02/2025</t>
  </si>
  <si>
    <t>PISC. DONA FRIDA 02/2025 - ENGORDA TILÁPIA SETOR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</si>
</sst>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R$&quot;\ #,##0;\-&quot;R$&quot;\ #,##0"/>
    <numFmt numFmtId="164" formatCode="_(* #,##0.00_);_(* \(#,##0.00\);_(* &quot;-&quot;??_);_(@_)"/>
    <numFmt numFmtId="165" formatCode="General\ &quot;g&quot;"/>
    <numFmt numFmtId="166" formatCode="#,##0\ &quot;Kg&quot;"/>
    <numFmt numFmtId="167" formatCode="#,##0\ &quot;pxs&quot;"/>
    <numFmt numFmtId="168" formatCode="#,##0\ &quot;g&quot;"/>
    <numFmt numFmtId="169" formatCode="#,##0\ &quot;Kg&quot;;[Red]\-#,##0\ &quot;Kg&quot;"/>
    <numFmt numFmtId="170" formatCode="0.00%;[Red]\-\ 0.00%"/>
    <numFmt numFmtId="171" formatCode="#,##0\ &quot;px&quot;"/>
    <numFmt numFmtId="172" formatCode="General\ &quot;ha&quot;"/>
    <numFmt numFmtId="173" formatCode="&quot;R$&quot;#,##0.0&quot;/Kg&quot;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8" fillId="0" borderId="0" xfId="2" applyFont="1" applyFill="1" applyBorder="1" applyAlignment="1" applyProtection="1">
      <alignment horizontal="right" vertical="center" indent="4"/>
    </xf>
    <xf numFmtId="9" fontId="9" fillId="0" borderId="0" xfId="2" applyFont="1" applyFill="1" applyBorder="1" applyAlignment="1" applyProtection="1">
      <alignment horizontal="right" vertical="center" indent="4"/>
    </xf>
    <xf numFmtId="171" fontId="8" fillId="0" borderId="1" xfId="3" applyNumberFormat="1" applyFont="1" applyFill="1" applyBorder="1" applyAlignment="1" applyProtection="1">
      <alignment horizontal="right" vertical="center"/>
    </xf>
    <xf numFmtId="171" fontId="9" fillId="0" borderId="1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2" fontId="12" fillId="0" borderId="8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>
      <alignment vertical="center"/>
    </xf>
    <xf numFmtId="172" fontId="13" fillId="0" borderId="5" xfId="0" applyNumberFormat="1" applyFont="1" applyBorder="1" applyAlignment="1" applyProtection="1">
      <alignment horizontal="right" vertical="center"/>
      <protection locked="0"/>
    </xf>
    <xf numFmtId="172" fontId="13" fillId="0" borderId="7" xfId="0" applyNumberFormat="1" applyFont="1" applyBorder="1" applyAlignment="1" applyProtection="1">
      <alignment horizontal="right" vertical="center"/>
      <protection locked="0"/>
    </xf>
    <xf numFmtId="0" fontId="12" fillId="0" borderId="0" xfId="0" applyFont="1" applyAlignment="1">
      <alignment horizontal="center" vertical="center"/>
    </xf>
    <xf numFmtId="167" fontId="13" fillId="0" borderId="5" xfId="0" applyNumberFormat="1" applyFont="1" applyBorder="1" applyAlignment="1" applyProtection="1">
      <alignment horizontal="right" vertical="center"/>
      <protection locked="0"/>
    </xf>
    <xf numFmtId="171" fontId="13" fillId="0" borderId="5" xfId="0" applyNumberFormat="1" applyFont="1" applyBorder="1" applyAlignment="1" applyProtection="1">
      <alignment horizontal="right" vertical="center" indent="1"/>
      <protection locked="0"/>
    </xf>
    <xf numFmtId="166" fontId="13" fillId="0" borderId="12" xfId="1" applyNumberFormat="1" applyFont="1" applyFill="1" applyBorder="1" applyAlignment="1" applyProtection="1">
      <alignment horizontal="right" vertical="center" indent="1"/>
    </xf>
    <xf numFmtId="166" fontId="13" fillId="0" borderId="10" xfId="1" applyNumberFormat="1" applyFont="1" applyFill="1" applyBorder="1" applyAlignment="1" applyProtection="1">
      <alignment horizontal="right" vertical="center" indent="1"/>
    </xf>
    <xf numFmtId="166" fontId="13" fillId="0" borderId="11" xfId="1" applyNumberFormat="1" applyFont="1" applyFill="1" applyBorder="1" applyAlignment="1" applyProtection="1">
      <alignment horizontal="right" vertical="center" indent="1"/>
    </xf>
    <xf numFmtId="165" fontId="7" fillId="0" borderId="5" xfId="0" applyNumberFormat="1" applyFont="1" applyBorder="1" applyAlignment="1" applyProtection="1">
      <alignment horizontal="center" vertical="center"/>
      <protection locked="0"/>
    </xf>
    <xf numFmtId="171" fontId="7" fillId="0" borderId="5" xfId="0" applyNumberFormat="1" applyFont="1" applyBorder="1" applyAlignment="1" applyProtection="1">
      <alignment horizontal="center" vertical="center"/>
      <protection locked="0"/>
    </xf>
    <xf numFmtId="166" fontId="7" fillId="0" borderId="5" xfId="1" applyNumberFormat="1" applyFont="1" applyFill="1" applyBorder="1" applyAlignment="1" applyProtection="1">
      <alignment horizontal="center" vertical="center"/>
    </xf>
    <xf numFmtId="169" fontId="7" fillId="0" borderId="5" xfId="1" applyNumberFormat="1" applyFont="1" applyFill="1" applyBorder="1" applyAlignment="1" applyProtection="1">
      <alignment horizontal="center" vertical="center"/>
    </xf>
    <xf numFmtId="170" fontId="7" fillId="0" borderId="6" xfId="2" applyNumberFormat="1" applyFont="1" applyFill="1" applyBorder="1" applyAlignment="1" applyProtection="1">
      <alignment horizontal="center" vertical="center"/>
    </xf>
    <xf numFmtId="166" fontId="14" fillId="4" borderId="1" xfId="3" applyNumberFormat="1" applyFont="1" applyFill="1" applyBorder="1" applyAlignment="1" applyProtection="1">
      <alignment horizontal="right" vertical="center" indent="2"/>
    </xf>
    <xf numFmtId="171" fontId="14" fillId="4" borderId="1" xfId="3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0" fontId="7" fillId="0" borderId="0" xfId="2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left" vertical="center"/>
    </xf>
    <xf numFmtId="173" fontId="14" fillId="4" borderId="1" xfId="3" applyNumberFormat="1" applyFont="1" applyFill="1" applyBorder="1" applyAlignment="1" applyProtection="1">
      <alignment horizontal="right" vertical="center" indent="2"/>
    </xf>
    <xf numFmtId="5" fontId="14" fillId="4" borderId="1" xfId="3" applyNumberFormat="1" applyFont="1" applyFill="1" applyBorder="1" applyAlignment="1" applyProtection="1">
      <alignment vertical="center"/>
    </xf>
    <xf numFmtId="171" fontId="17" fillId="0" borderId="0" xfId="0" applyNumberFormat="1" applyFont="1" applyAlignment="1">
      <alignment horizontal="center" vertical="center"/>
    </xf>
    <xf numFmtId="14" fontId="12" fillId="6" borderId="5" xfId="0" applyNumberFormat="1" applyFont="1" applyFill="1" applyBorder="1" applyAlignment="1" applyProtection="1">
      <alignment horizontal="center" vertical="center"/>
      <protection locked="0"/>
    </xf>
    <xf numFmtId="165" fontId="7" fillId="6" borderId="5" xfId="0" applyNumberFormat="1" applyFont="1" applyFill="1" applyBorder="1" applyAlignment="1" applyProtection="1">
      <alignment horizontal="center" vertical="center"/>
      <protection locked="0"/>
    </xf>
    <xf numFmtId="171" fontId="7" fillId="6" borderId="5" xfId="0" applyNumberFormat="1" applyFont="1" applyFill="1" applyBorder="1" applyAlignment="1" applyProtection="1">
      <alignment horizontal="center" vertical="center"/>
      <protection locked="0"/>
    </xf>
    <xf numFmtId="171" fontId="7" fillId="7" borderId="5" xfId="0" applyNumberFormat="1" applyFont="1" applyFill="1" applyBorder="1" applyAlignment="1" applyProtection="1">
      <alignment horizontal="center" vertical="center"/>
      <protection locked="0"/>
    </xf>
    <xf numFmtId="168" fontId="7" fillId="7" borderId="5" xfId="0" applyNumberFormat="1" applyFont="1" applyFill="1" applyBorder="1" applyAlignment="1" applyProtection="1">
      <alignment horizontal="center" vertical="center"/>
      <protection locked="0"/>
    </xf>
    <xf numFmtId="14" fontId="7" fillId="6" borderId="5" xfId="0" applyNumberFormat="1" applyFont="1" applyFill="1" applyBorder="1" applyAlignment="1" applyProtection="1">
      <alignment horizontal="center" vertical="center"/>
      <protection locked="0"/>
    </xf>
    <xf numFmtId="166" fontId="7" fillId="6" borderId="5" xfId="1" applyNumberFormat="1" applyFont="1" applyFill="1" applyBorder="1" applyAlignment="1" applyProtection="1">
      <alignment horizontal="center" vertical="center"/>
    </xf>
    <xf numFmtId="169" fontId="7" fillId="6" borderId="5" xfId="1" applyNumberFormat="1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/>
      <protection locked="0"/>
    </xf>
    <xf numFmtId="170" fontId="7" fillId="6" borderId="6" xfId="2" applyNumberFormat="1" applyFont="1" applyFill="1" applyBorder="1" applyAlignment="1" applyProtection="1">
      <alignment horizontal="center" vertical="center"/>
    </xf>
    <xf numFmtId="170" fontId="7" fillId="7" borderId="0" xfId="2" applyNumberFormat="1" applyFont="1" applyFill="1" applyBorder="1" applyAlignment="1" applyProtection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172" fontId="12" fillId="6" borderId="8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>
      <alignment horizontal="center" vertical="center"/>
    </xf>
    <xf numFmtId="9" fontId="14" fillId="7" borderId="1" xfId="2" applyFont="1" applyFill="1" applyBorder="1" applyAlignment="1" applyProtection="1">
      <alignment horizontal="right" vertical="center" indent="4"/>
    </xf>
    <xf numFmtId="0" fontId="17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4" fillId="4" borderId="1" xfId="3" applyFont="1" applyFill="1" applyBorder="1" applyAlignment="1" applyProtection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</cellXfs>
  <cellStyles count="5">
    <cellStyle name="Bom" xfId="3" builtinId="26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7"/>
  <sheetViews>
    <sheetView showGridLines="0" tabSelected="1" topLeftCell="A4" zoomScale="40" zoomScaleNormal="40" zoomScaleSheetLayoutView="17" workbookViewId="0">
      <selection activeCell="D14" sqref="D14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5.85546875" style="1" bestFit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68" t="s">
        <v>53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2:24" ht="27" hidden="1" customHeight="1" x14ac:dyDescent="0.25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2:24" ht="45" customHeight="1" x14ac:dyDescent="0.25">
      <c r="H7" s="62"/>
    </row>
    <row r="8" spans="2:24" ht="45" customHeight="1" x14ac:dyDescent="0.25">
      <c r="B8" s="69" t="s">
        <v>33</v>
      </c>
      <c r="C8" s="69"/>
      <c r="D8" s="69"/>
      <c r="E8" s="69"/>
      <c r="F8" s="30">
        <f>SUMIF($D$16:$D$24,"TILAPIA",$T$16:$T$24)</f>
        <v>124009.63</v>
      </c>
      <c r="G8" s="31">
        <f>SUMIF($D$14:$D$29,"TILAPIA",$N14:$N29)</f>
        <v>396988</v>
      </c>
      <c r="H8" s="63"/>
      <c r="I8" s="6"/>
      <c r="J8" s="44">
        <v>8</v>
      </c>
      <c r="K8" s="45">
        <f>+J8*F8</f>
        <v>992077.04</v>
      </c>
      <c r="L8" s="4"/>
      <c r="M8" s="4"/>
    </row>
    <row r="9" spans="2:24" ht="33.75" customHeight="1" x14ac:dyDescent="0.25">
      <c r="B9" s="32"/>
      <c r="C9" s="32"/>
      <c r="D9" s="32"/>
      <c r="E9" s="32"/>
      <c r="I9" s="7"/>
      <c r="K9" s="5"/>
      <c r="L9" s="5"/>
      <c r="M9" s="5"/>
      <c r="U9" s="64" t="s">
        <v>52</v>
      </c>
      <c r="V9" s="64"/>
    </row>
    <row r="10" spans="2:24" ht="15" hidden="1" x14ac:dyDescent="0.25"/>
    <row r="11" spans="2:24" ht="15" hidden="1" x14ac:dyDescent="0.25"/>
    <row r="12" spans="2:24" ht="51.75" customHeight="1" thickBot="1" x14ac:dyDescent="0.3">
      <c r="E12" s="70" t="s">
        <v>7</v>
      </c>
      <c r="F12" s="70"/>
      <c r="G12" s="70"/>
      <c r="H12" s="70"/>
      <c r="I12" s="70"/>
    </row>
    <row r="13" spans="2:24" s="3" customFormat="1" ht="92.25" customHeight="1" thickBot="1" x14ac:dyDescent="0.3">
      <c r="B13" s="33" t="s">
        <v>0</v>
      </c>
      <c r="C13" s="34" t="s">
        <v>18</v>
      </c>
      <c r="D13" s="35" t="s">
        <v>1</v>
      </c>
      <c r="E13" s="36" t="s">
        <v>7</v>
      </c>
      <c r="F13" s="36" t="s">
        <v>8</v>
      </c>
      <c r="G13" s="37" t="s">
        <v>17</v>
      </c>
      <c r="H13" s="37" t="s">
        <v>25</v>
      </c>
      <c r="I13" s="37" t="s">
        <v>26</v>
      </c>
      <c r="J13" s="38" t="s">
        <v>14</v>
      </c>
      <c r="K13" s="38" t="s">
        <v>27</v>
      </c>
      <c r="L13" s="39" t="s">
        <v>29</v>
      </c>
      <c r="M13" s="39" t="s">
        <v>31</v>
      </c>
      <c r="N13" s="58" t="s">
        <v>13</v>
      </c>
      <c r="O13" s="38" t="s">
        <v>2</v>
      </c>
      <c r="P13" s="58" t="s">
        <v>3</v>
      </c>
      <c r="Q13" s="38" t="s">
        <v>15</v>
      </c>
      <c r="R13" s="38" t="s">
        <v>34</v>
      </c>
      <c r="S13" s="35" t="s">
        <v>28</v>
      </c>
      <c r="T13" s="58" t="s">
        <v>4</v>
      </c>
      <c r="U13" s="35" t="s">
        <v>5</v>
      </c>
      <c r="V13" s="40" t="s">
        <v>6</v>
      </c>
      <c r="W13" s="41"/>
      <c r="X13" s="41"/>
    </row>
    <row r="14" spans="2:24" ht="72" customHeight="1" thickBot="1" x14ac:dyDescent="0.3">
      <c r="B14" s="59" t="s">
        <v>35</v>
      </c>
      <c r="C14" s="60">
        <v>1.63</v>
      </c>
      <c r="D14" s="61" t="s">
        <v>32</v>
      </c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57"/>
      <c r="X14" s="42"/>
    </row>
    <row r="15" spans="2:24" ht="72" customHeight="1" thickBot="1" x14ac:dyDescent="0.3">
      <c r="B15" s="59" t="s">
        <v>36</v>
      </c>
      <c r="C15" s="60">
        <v>2.02</v>
      </c>
      <c r="D15" s="61" t="s">
        <v>32</v>
      </c>
      <c r="E15" s="47">
        <v>45419</v>
      </c>
      <c r="F15" s="48">
        <v>100</v>
      </c>
      <c r="G15" s="49">
        <v>21600</v>
      </c>
      <c r="H15" s="50">
        <v>0</v>
      </c>
      <c r="I15" s="50">
        <v>0</v>
      </c>
      <c r="J15" s="49">
        <f>21600+1953+2790+688+240</f>
        <v>27271</v>
      </c>
      <c r="K15" s="50">
        <f>4862+6190+5102</f>
        <v>16154</v>
      </c>
      <c r="L15" s="50">
        <v>0</v>
      </c>
      <c r="M15" s="49" t="s">
        <v>30</v>
      </c>
      <c r="N15" s="49">
        <f>J15-K15</f>
        <v>11117</v>
      </c>
      <c r="O15" s="51">
        <v>823</v>
      </c>
      <c r="P15" s="51">
        <v>943</v>
      </c>
      <c r="Q15" s="52">
        <v>45715</v>
      </c>
      <c r="R15" s="53">
        <f t="shared" ref="R15" si="0">J15*O15/1000</f>
        <v>22444.032999999999</v>
      </c>
      <c r="S15" s="54">
        <f>T15-R15</f>
        <v>-11960.701999999999</v>
      </c>
      <c r="T15" s="53">
        <f t="shared" ref="T15:T17" si="1">N15*P15/1000</f>
        <v>10483.331</v>
      </c>
      <c r="U15" s="55" t="s">
        <v>49</v>
      </c>
      <c r="V15" s="56">
        <f t="shared" ref="V15" si="2">IFERROR((P15-O15)/O15,"")</f>
        <v>0.14580801944106925</v>
      </c>
      <c r="W15" s="57"/>
      <c r="X15" s="42"/>
    </row>
    <row r="16" spans="2:24" ht="72" customHeight="1" thickBot="1" x14ac:dyDescent="0.3">
      <c r="B16" s="59" t="s">
        <v>37</v>
      </c>
      <c r="C16" s="60">
        <v>2.2000000000000002</v>
      </c>
      <c r="D16" s="61" t="s">
        <v>32</v>
      </c>
      <c r="E16" s="47">
        <v>45409</v>
      </c>
      <c r="F16" s="48">
        <v>170</v>
      </c>
      <c r="G16" s="49">
        <v>22300</v>
      </c>
      <c r="H16" s="50">
        <v>0</v>
      </c>
      <c r="I16" s="50">
        <v>0</v>
      </c>
      <c r="J16" s="49">
        <v>22300</v>
      </c>
      <c r="K16" s="50">
        <f>5456+9247</f>
        <v>14703</v>
      </c>
      <c r="L16" s="50">
        <v>0</v>
      </c>
      <c r="M16" s="49" t="s">
        <v>30</v>
      </c>
      <c r="N16" s="49">
        <f t="shared" ref="N16" si="3">J16-K16</f>
        <v>7597</v>
      </c>
      <c r="O16" s="51">
        <v>836</v>
      </c>
      <c r="P16" s="51">
        <v>856</v>
      </c>
      <c r="Q16" s="52">
        <v>45715</v>
      </c>
      <c r="R16" s="53">
        <f>J16*O16/1000</f>
        <v>18642.8</v>
      </c>
      <c r="S16" s="54">
        <f t="shared" ref="S16:S17" si="4">T16-R16</f>
        <v>-12139.768</v>
      </c>
      <c r="T16" s="53">
        <f t="shared" si="1"/>
        <v>6503.0320000000002</v>
      </c>
      <c r="U16" s="55" t="s">
        <v>49</v>
      </c>
      <c r="V16" s="56">
        <f>IFERROR((P16-O16)/O16,"")</f>
        <v>2.3923444976076555E-2</v>
      </c>
      <c r="W16" s="57"/>
      <c r="X16" s="42"/>
    </row>
    <row r="17" spans="2:24" ht="72" customHeight="1" thickBot="1" x14ac:dyDescent="0.3">
      <c r="B17" s="59" t="s">
        <v>38</v>
      </c>
      <c r="C17" s="60">
        <v>2.2999999999999998</v>
      </c>
      <c r="D17" s="61" t="s">
        <v>32</v>
      </c>
      <c r="E17" s="47">
        <v>45418</v>
      </c>
      <c r="F17" s="48">
        <v>169</v>
      </c>
      <c r="G17" s="49">
        <v>22860</v>
      </c>
      <c r="H17" s="50">
        <v>0</v>
      </c>
      <c r="I17" s="50">
        <v>0</v>
      </c>
      <c r="J17" s="49">
        <v>22860</v>
      </c>
      <c r="K17" s="50">
        <f>5251+4852+4592+2250</f>
        <v>16945</v>
      </c>
      <c r="L17" s="50">
        <v>0</v>
      </c>
      <c r="M17" s="49" t="s">
        <v>30</v>
      </c>
      <c r="N17" s="49">
        <f>J17-K17</f>
        <v>5915</v>
      </c>
      <c r="O17" s="51">
        <v>858</v>
      </c>
      <c r="P17" s="51">
        <v>858</v>
      </c>
      <c r="Q17" s="52">
        <v>45715</v>
      </c>
      <c r="R17" s="53">
        <f>J17*O17/1000</f>
        <v>19613.88</v>
      </c>
      <c r="S17" s="54">
        <f t="shared" si="4"/>
        <v>-14538.810000000001</v>
      </c>
      <c r="T17" s="53">
        <f t="shared" si="1"/>
        <v>5075.07</v>
      </c>
      <c r="U17" s="55" t="s">
        <v>49</v>
      </c>
      <c r="V17" s="56">
        <f>IFERROR((P17-O17)/O17,"")</f>
        <v>0</v>
      </c>
      <c r="W17" s="57"/>
      <c r="X17" s="42"/>
    </row>
    <row r="18" spans="2:24" ht="75.75" customHeight="1" thickBot="1" x14ac:dyDescent="0.3">
      <c r="B18" s="59" t="s">
        <v>39</v>
      </c>
      <c r="C18" s="60">
        <v>2.2200000000000002</v>
      </c>
      <c r="D18" s="61" t="s">
        <v>32</v>
      </c>
      <c r="E18" s="47">
        <v>45413</v>
      </c>
      <c r="F18" s="48">
        <v>165</v>
      </c>
      <c r="G18" s="49">
        <v>22040</v>
      </c>
      <c r="H18" s="50">
        <v>0</v>
      </c>
      <c r="I18" s="50">
        <v>50</v>
      </c>
      <c r="J18" s="49">
        <v>22040</v>
      </c>
      <c r="K18" s="50">
        <v>0</v>
      </c>
      <c r="L18" s="50">
        <v>0</v>
      </c>
      <c r="M18" s="49" t="s">
        <v>30</v>
      </c>
      <c r="N18" s="49">
        <f t="shared" ref="N18" si="5">J18-K18</f>
        <v>22040</v>
      </c>
      <c r="O18" s="51">
        <v>916</v>
      </c>
      <c r="P18" s="51">
        <v>963</v>
      </c>
      <c r="Q18" s="52">
        <v>45715</v>
      </c>
      <c r="R18" s="53">
        <f t="shared" ref="R18" si="6">J18*O18/1000</f>
        <v>20188.64</v>
      </c>
      <c r="S18" s="54">
        <f>T18-R18</f>
        <v>1035.880000000001</v>
      </c>
      <c r="T18" s="53">
        <f t="shared" ref="T18" si="7">N18*P18/1000</f>
        <v>21224.52</v>
      </c>
      <c r="U18" s="55" t="s">
        <v>49</v>
      </c>
      <c r="V18" s="56">
        <f t="shared" ref="V18:V29" si="8">IFERROR((P18-O18)/O18,"")</f>
        <v>5.1310043668122272E-2</v>
      </c>
      <c r="W18" s="57"/>
      <c r="X18" s="42"/>
    </row>
    <row r="19" spans="2:24" ht="72" customHeight="1" thickBot="1" x14ac:dyDescent="0.3">
      <c r="B19" s="59" t="s">
        <v>40</v>
      </c>
      <c r="C19" s="60">
        <v>2.0499999999999998</v>
      </c>
      <c r="D19" s="61" t="s">
        <v>32</v>
      </c>
      <c r="E19" s="47">
        <v>45425</v>
      </c>
      <c r="F19" s="48">
        <v>177</v>
      </c>
      <c r="G19" s="49">
        <v>20000</v>
      </c>
      <c r="H19" s="50">
        <v>0</v>
      </c>
      <c r="I19" s="50">
        <v>0</v>
      </c>
      <c r="J19" s="49">
        <v>20000</v>
      </c>
      <c r="K19" s="50">
        <v>0</v>
      </c>
      <c r="L19" s="50">
        <v>522</v>
      </c>
      <c r="M19" s="49" t="s">
        <v>30</v>
      </c>
      <c r="N19" s="49">
        <v>20000</v>
      </c>
      <c r="O19" s="51">
        <v>785</v>
      </c>
      <c r="P19" s="51">
        <v>797</v>
      </c>
      <c r="Q19" s="52">
        <v>45715</v>
      </c>
      <c r="R19" s="53">
        <f t="shared" ref="R19" si="9">J19*O19/1000</f>
        <v>15700</v>
      </c>
      <c r="S19" s="54">
        <f>T19-R19</f>
        <v>240</v>
      </c>
      <c r="T19" s="53">
        <f t="shared" ref="T19:T29" si="10">N19*P19/1000</f>
        <v>15940</v>
      </c>
      <c r="U19" s="55" t="s">
        <v>49</v>
      </c>
      <c r="V19" s="56">
        <f t="shared" si="8"/>
        <v>1.5286624203821656E-2</v>
      </c>
      <c r="W19" s="57"/>
      <c r="X19" s="42"/>
    </row>
    <row r="20" spans="2:24" ht="72" customHeight="1" thickBot="1" x14ac:dyDescent="0.3">
      <c r="B20" s="59" t="s">
        <v>41</v>
      </c>
      <c r="C20" s="60">
        <v>1.95</v>
      </c>
      <c r="D20" s="61" t="s">
        <v>32</v>
      </c>
      <c r="E20" s="47">
        <v>45446</v>
      </c>
      <c r="F20" s="48">
        <v>150</v>
      </c>
      <c r="G20" s="49">
        <v>21000</v>
      </c>
      <c r="H20" s="50">
        <v>0</v>
      </c>
      <c r="I20" s="50">
        <v>0</v>
      </c>
      <c r="J20" s="49">
        <v>21000</v>
      </c>
      <c r="K20" s="50">
        <v>0</v>
      </c>
      <c r="L20" s="50">
        <v>0</v>
      </c>
      <c r="M20" s="49" t="s">
        <v>30</v>
      </c>
      <c r="N20" s="49">
        <v>21522</v>
      </c>
      <c r="O20" s="51">
        <v>680</v>
      </c>
      <c r="P20" s="51">
        <v>719</v>
      </c>
      <c r="Q20" s="52">
        <v>45715</v>
      </c>
      <c r="R20" s="53">
        <f>J20*O20/1000</f>
        <v>14280</v>
      </c>
      <c r="S20" s="54">
        <f>T20-R20</f>
        <v>1194.3179999999993</v>
      </c>
      <c r="T20" s="53">
        <f t="shared" si="10"/>
        <v>15474.317999999999</v>
      </c>
      <c r="U20" s="55" t="s">
        <v>49</v>
      </c>
      <c r="V20" s="56">
        <f t="shared" si="8"/>
        <v>5.7352941176470586E-2</v>
      </c>
      <c r="W20" s="57"/>
      <c r="X20" s="42"/>
    </row>
    <row r="21" spans="2:24" ht="72" customHeight="1" thickBot="1" x14ac:dyDescent="0.3">
      <c r="B21" s="59" t="s">
        <v>42</v>
      </c>
      <c r="C21" s="60">
        <v>1.94</v>
      </c>
      <c r="D21" s="61" t="s">
        <v>32</v>
      </c>
      <c r="E21" s="47">
        <v>45450</v>
      </c>
      <c r="F21" s="48">
        <v>150</v>
      </c>
      <c r="G21" s="49">
        <v>20500</v>
      </c>
      <c r="H21" s="50">
        <v>0</v>
      </c>
      <c r="I21" s="50">
        <v>0</v>
      </c>
      <c r="J21" s="49">
        <v>20500</v>
      </c>
      <c r="K21" s="50">
        <v>0</v>
      </c>
      <c r="L21" s="50">
        <v>0</v>
      </c>
      <c r="M21" s="49" t="s">
        <v>30</v>
      </c>
      <c r="N21" s="49">
        <v>20416</v>
      </c>
      <c r="O21" s="51">
        <v>677</v>
      </c>
      <c r="P21" s="51">
        <v>739</v>
      </c>
      <c r="Q21" s="52">
        <v>45715</v>
      </c>
      <c r="R21" s="53">
        <f t="shared" ref="R21:R29" si="11">J21*O21/1000</f>
        <v>13878.5</v>
      </c>
      <c r="S21" s="54">
        <f t="shared" ref="S21:S29" si="12">T21-R21</f>
        <v>1208.9240000000009</v>
      </c>
      <c r="T21" s="53">
        <f t="shared" si="10"/>
        <v>15087.424000000001</v>
      </c>
      <c r="U21" s="55" t="s">
        <v>49</v>
      </c>
      <c r="V21" s="56">
        <f t="shared" si="8"/>
        <v>9.1580502215657306E-2</v>
      </c>
      <c r="W21" s="57"/>
      <c r="X21" s="42"/>
    </row>
    <row r="22" spans="2:24" ht="72" customHeight="1" thickBot="1" x14ac:dyDescent="0.3">
      <c r="B22" s="59" t="s">
        <v>43</v>
      </c>
      <c r="C22" s="60">
        <v>1.97</v>
      </c>
      <c r="D22" s="61" t="s">
        <v>32</v>
      </c>
      <c r="E22" s="47">
        <v>45463</v>
      </c>
      <c r="F22" s="48">
        <v>85</v>
      </c>
      <c r="G22" s="49">
        <v>21000</v>
      </c>
      <c r="H22" s="50">
        <v>0</v>
      </c>
      <c r="I22" s="50">
        <v>0</v>
      </c>
      <c r="J22" s="49">
        <f>21000+4850</f>
        <v>25850</v>
      </c>
      <c r="K22" s="50">
        <v>0</v>
      </c>
      <c r="L22" s="50">
        <v>0</v>
      </c>
      <c r="M22" s="49" t="s">
        <v>30</v>
      </c>
      <c r="N22" s="49">
        <f>J22-K22</f>
        <v>25850</v>
      </c>
      <c r="O22" s="48">
        <v>519</v>
      </c>
      <c r="P22" s="48">
        <v>545</v>
      </c>
      <c r="Q22" s="52">
        <v>45715</v>
      </c>
      <c r="R22" s="53">
        <f t="shared" si="11"/>
        <v>13416.15</v>
      </c>
      <c r="S22" s="54">
        <f>T22-R22</f>
        <v>672.10000000000036</v>
      </c>
      <c r="T22" s="53">
        <f t="shared" si="10"/>
        <v>14088.25</v>
      </c>
      <c r="U22" s="55" t="s">
        <v>49</v>
      </c>
      <c r="V22" s="56">
        <f t="shared" si="8"/>
        <v>5.0096339113680152E-2</v>
      </c>
      <c r="W22" s="57"/>
      <c r="X22" s="42"/>
    </row>
    <row r="23" spans="2:24" ht="72" customHeight="1" thickBot="1" x14ac:dyDescent="0.3">
      <c r="B23" s="13" t="s">
        <v>44</v>
      </c>
      <c r="C23" s="14">
        <v>1.8</v>
      </c>
      <c r="D23" s="61" t="s">
        <v>32</v>
      </c>
      <c r="E23" s="15">
        <v>45680</v>
      </c>
      <c r="F23" s="25">
        <v>259</v>
      </c>
      <c r="G23" s="26">
        <v>59137</v>
      </c>
      <c r="H23" s="50">
        <v>0</v>
      </c>
      <c r="I23" s="50">
        <v>0</v>
      </c>
      <c r="J23" s="26">
        <f>59137-293</f>
        <v>58844</v>
      </c>
      <c r="K23" s="50">
        <v>0</v>
      </c>
      <c r="L23" s="50">
        <v>0</v>
      </c>
      <c r="M23" s="49" t="s">
        <v>30</v>
      </c>
      <c r="N23" s="49">
        <f>J23-K23</f>
        <v>58844</v>
      </c>
      <c r="O23" s="25">
        <v>279</v>
      </c>
      <c r="P23" s="25">
        <v>314</v>
      </c>
      <c r="Q23" s="52">
        <v>45715</v>
      </c>
      <c r="R23" s="27">
        <f t="shared" si="11"/>
        <v>16417.475999999999</v>
      </c>
      <c r="S23" s="28">
        <f>T23-R23</f>
        <v>2059.5400000000009</v>
      </c>
      <c r="T23" s="27">
        <f t="shared" si="10"/>
        <v>18477.016</v>
      </c>
      <c r="U23" s="55" t="s">
        <v>49</v>
      </c>
      <c r="V23" s="29">
        <f t="shared" si="8"/>
        <v>0.12544802867383512</v>
      </c>
      <c r="W23" s="42"/>
      <c r="X23" s="42"/>
    </row>
    <row r="24" spans="2:24" ht="72" customHeight="1" thickBot="1" x14ac:dyDescent="0.3">
      <c r="B24" s="59" t="s">
        <v>45</v>
      </c>
      <c r="C24" s="60">
        <v>1.95</v>
      </c>
      <c r="D24" s="61" t="s">
        <v>32</v>
      </c>
      <c r="E24" s="47">
        <v>45467</v>
      </c>
      <c r="F24" s="48">
        <v>65</v>
      </c>
      <c r="G24" s="49">
        <v>20000</v>
      </c>
      <c r="H24" s="50">
        <v>0</v>
      </c>
      <c r="I24" s="50">
        <v>0</v>
      </c>
      <c r="J24" s="26">
        <f>G24</f>
        <v>20000</v>
      </c>
      <c r="K24" s="50">
        <v>0</v>
      </c>
      <c r="L24" s="50">
        <v>0</v>
      </c>
      <c r="M24" s="49" t="s">
        <v>30</v>
      </c>
      <c r="N24" s="49">
        <f t="shared" ref="N24:N29" si="13">J24-K24</f>
        <v>20000</v>
      </c>
      <c r="O24" s="48">
        <v>536</v>
      </c>
      <c r="P24" s="48">
        <v>607</v>
      </c>
      <c r="Q24" s="52">
        <v>45715</v>
      </c>
      <c r="R24" s="53">
        <f t="shared" si="11"/>
        <v>10720</v>
      </c>
      <c r="S24" s="54">
        <f t="shared" si="12"/>
        <v>1420</v>
      </c>
      <c r="T24" s="53">
        <f t="shared" si="10"/>
        <v>12140</v>
      </c>
      <c r="U24" s="55" t="s">
        <v>49</v>
      </c>
      <c r="V24" s="56">
        <f t="shared" si="8"/>
        <v>0.13246268656716417</v>
      </c>
      <c r="W24" s="57"/>
      <c r="X24" s="42"/>
    </row>
    <row r="25" spans="2:24" ht="72" customHeight="1" thickBot="1" x14ac:dyDescent="0.3">
      <c r="B25" s="59" t="s">
        <v>46</v>
      </c>
      <c r="C25" s="60">
        <v>1.85</v>
      </c>
      <c r="D25" s="61" t="s">
        <v>32</v>
      </c>
      <c r="E25" s="47">
        <v>45469</v>
      </c>
      <c r="F25" s="48">
        <v>65</v>
      </c>
      <c r="G25" s="49">
        <v>9026</v>
      </c>
      <c r="H25" s="50">
        <v>0</v>
      </c>
      <c r="I25" s="50">
        <v>0</v>
      </c>
      <c r="J25" s="49">
        <v>20500</v>
      </c>
      <c r="K25" s="50">
        <v>0</v>
      </c>
      <c r="L25" s="50">
        <v>0</v>
      </c>
      <c r="M25" s="49" t="s">
        <v>30</v>
      </c>
      <c r="N25" s="49">
        <f t="shared" si="13"/>
        <v>20500</v>
      </c>
      <c r="O25" s="48">
        <v>390</v>
      </c>
      <c r="P25" s="48">
        <v>393</v>
      </c>
      <c r="Q25" s="52">
        <v>45715</v>
      </c>
      <c r="R25" s="53">
        <f t="shared" si="11"/>
        <v>7995</v>
      </c>
      <c r="S25" s="54">
        <f t="shared" si="12"/>
        <v>61.5</v>
      </c>
      <c r="T25" s="53">
        <f t="shared" si="10"/>
        <v>8056.5</v>
      </c>
      <c r="U25" s="55" t="s">
        <v>49</v>
      </c>
      <c r="V25" s="56">
        <f t="shared" si="8"/>
        <v>7.6923076923076927E-3</v>
      </c>
      <c r="W25" s="57"/>
      <c r="X25" s="42"/>
    </row>
    <row r="26" spans="2:24" ht="72" customHeight="1" thickBot="1" x14ac:dyDescent="0.3">
      <c r="B26" s="59" t="s">
        <v>47</v>
      </c>
      <c r="C26" s="60">
        <v>1.87</v>
      </c>
      <c r="D26" s="61" t="s">
        <v>32</v>
      </c>
      <c r="E26" s="47">
        <v>45483</v>
      </c>
      <c r="F26" s="48">
        <v>120</v>
      </c>
      <c r="G26" s="49">
        <v>21000</v>
      </c>
      <c r="H26" s="50">
        <v>0</v>
      </c>
      <c r="I26" s="50">
        <v>0</v>
      </c>
      <c r="J26" s="49">
        <f>21000+11630</f>
        <v>32630</v>
      </c>
      <c r="K26" s="50">
        <v>0</v>
      </c>
      <c r="L26" s="50">
        <v>0</v>
      </c>
      <c r="M26" s="49" t="s">
        <v>30</v>
      </c>
      <c r="N26" s="49">
        <f t="shared" si="13"/>
        <v>32630</v>
      </c>
      <c r="O26" s="51">
        <v>397</v>
      </c>
      <c r="P26" s="51">
        <v>397</v>
      </c>
      <c r="Q26" s="52">
        <v>45715</v>
      </c>
      <c r="R26" s="53">
        <f t="shared" si="11"/>
        <v>12954.11</v>
      </c>
      <c r="S26" s="54">
        <f t="shared" si="12"/>
        <v>0</v>
      </c>
      <c r="T26" s="53">
        <f t="shared" si="10"/>
        <v>12954.11</v>
      </c>
      <c r="U26" s="55" t="s">
        <v>49</v>
      </c>
      <c r="V26" s="56">
        <f t="shared" si="8"/>
        <v>0</v>
      </c>
      <c r="W26" s="57"/>
      <c r="X26" s="42"/>
    </row>
    <row r="27" spans="2:24" ht="72" customHeight="1" thickBot="1" x14ac:dyDescent="0.3">
      <c r="B27" s="59" t="s">
        <v>48</v>
      </c>
      <c r="C27" s="60">
        <v>1.87</v>
      </c>
      <c r="D27" s="61" t="s">
        <v>32</v>
      </c>
      <c r="E27" s="47">
        <v>45681</v>
      </c>
      <c r="F27" s="48">
        <v>179</v>
      </c>
      <c r="G27" s="49">
        <v>48411</v>
      </c>
      <c r="H27" s="50">
        <v>0</v>
      </c>
      <c r="I27" s="50">
        <v>0</v>
      </c>
      <c r="J27" s="49">
        <f xml:space="preserve"> 48411-418-861-400-500-100+3945</f>
        <v>50077</v>
      </c>
      <c r="K27" s="50">
        <v>0</v>
      </c>
      <c r="L27" s="50">
        <v>0</v>
      </c>
      <c r="M27" s="49" t="s">
        <v>30</v>
      </c>
      <c r="N27" s="49">
        <f t="shared" si="13"/>
        <v>50077</v>
      </c>
      <c r="O27" s="51">
        <v>236</v>
      </c>
      <c r="P27" s="51">
        <v>260</v>
      </c>
      <c r="Q27" s="52">
        <v>45715</v>
      </c>
      <c r="R27" s="53">
        <f t="shared" si="11"/>
        <v>11818.172</v>
      </c>
      <c r="S27" s="54">
        <f>T27-R27</f>
        <v>1201.848</v>
      </c>
      <c r="T27" s="53">
        <f>N27*P27/1000</f>
        <v>13020.02</v>
      </c>
      <c r="U27" s="55" t="s">
        <v>49</v>
      </c>
      <c r="V27" s="56">
        <f t="shared" si="8"/>
        <v>0.10169491525423729</v>
      </c>
      <c r="W27" s="57"/>
      <c r="X27" s="42"/>
    </row>
    <row r="28" spans="2:24" ht="72" customHeight="1" thickBot="1" x14ac:dyDescent="0.3">
      <c r="B28" s="59" t="s">
        <v>50</v>
      </c>
      <c r="C28" s="60">
        <v>2.95</v>
      </c>
      <c r="D28" s="61" t="s">
        <v>32</v>
      </c>
      <c r="E28" s="47">
        <v>45682</v>
      </c>
      <c r="F28" s="48">
        <v>183</v>
      </c>
      <c r="G28" s="49">
        <v>14113</v>
      </c>
      <c r="H28" s="50">
        <v>0</v>
      </c>
      <c r="I28" s="50">
        <v>0</v>
      </c>
      <c r="J28" s="49">
        <f>14113+31808</f>
        <v>45921</v>
      </c>
      <c r="K28" s="50">
        <v>0</v>
      </c>
      <c r="L28" s="50">
        <v>0</v>
      </c>
      <c r="M28" s="49" t="s">
        <v>30</v>
      </c>
      <c r="N28" s="49">
        <f t="shared" si="13"/>
        <v>45921</v>
      </c>
      <c r="O28" s="48">
        <v>183</v>
      </c>
      <c r="P28" s="48">
        <v>208</v>
      </c>
      <c r="Q28" s="52">
        <v>45715</v>
      </c>
      <c r="R28" s="53">
        <f t="shared" si="11"/>
        <v>8403.5429999999997</v>
      </c>
      <c r="S28" s="54">
        <f t="shared" si="12"/>
        <v>1148.0249999999996</v>
      </c>
      <c r="T28" s="53">
        <f>N28*P28/1000</f>
        <v>9551.5679999999993</v>
      </c>
      <c r="U28" s="55" t="s">
        <v>49</v>
      </c>
      <c r="V28" s="56">
        <f t="shared" si="8"/>
        <v>0.13661202185792351</v>
      </c>
      <c r="W28" s="57"/>
      <c r="X28" s="42"/>
    </row>
    <row r="29" spans="2:24" ht="72" customHeight="1" thickBot="1" x14ac:dyDescent="0.3">
      <c r="B29" s="59" t="s">
        <v>51</v>
      </c>
      <c r="C29" s="60">
        <v>2.25</v>
      </c>
      <c r="D29" s="61" t="s">
        <v>32</v>
      </c>
      <c r="E29" s="47">
        <v>45705</v>
      </c>
      <c r="F29" s="48">
        <v>153</v>
      </c>
      <c r="G29" s="49">
        <f>4831+23510+6218</f>
        <v>34559</v>
      </c>
      <c r="H29" s="50">
        <v>0</v>
      </c>
      <c r="I29" s="50">
        <v>0</v>
      </c>
      <c r="J29" s="49">
        <f>G29</f>
        <v>34559</v>
      </c>
      <c r="K29" s="50">
        <v>0</v>
      </c>
      <c r="L29" s="50">
        <v>0</v>
      </c>
      <c r="M29" s="49" t="s">
        <v>30</v>
      </c>
      <c r="N29" s="49">
        <f t="shared" si="13"/>
        <v>34559</v>
      </c>
      <c r="O29" s="48">
        <v>153</v>
      </c>
      <c r="P29" s="48">
        <v>159</v>
      </c>
      <c r="Q29" s="52">
        <v>45715</v>
      </c>
      <c r="R29" s="53">
        <f t="shared" si="11"/>
        <v>5287.527</v>
      </c>
      <c r="S29" s="54">
        <f t="shared" si="12"/>
        <v>207.35400000000027</v>
      </c>
      <c r="T29" s="53">
        <f t="shared" si="10"/>
        <v>5494.8810000000003</v>
      </c>
      <c r="U29" s="55" t="s">
        <v>49</v>
      </c>
      <c r="V29" s="56">
        <f t="shared" si="8"/>
        <v>3.9215686274509803E-2</v>
      </c>
      <c r="W29" s="57"/>
      <c r="X29" s="42"/>
    </row>
    <row r="30" spans="2:24" ht="45" customHeight="1" thickBot="1" x14ac:dyDescent="0.3">
      <c r="B30" s="16" t="s">
        <v>16</v>
      </c>
      <c r="C30" s="17">
        <f>SUM(C14:C29)</f>
        <v>32.82</v>
      </c>
      <c r="D30" s="18"/>
      <c r="E30" s="16"/>
      <c r="F30" s="16"/>
      <c r="G30" s="19"/>
      <c r="H30" s="20">
        <f>SUM(H14:H29)</f>
        <v>0</v>
      </c>
      <c r="I30" s="20">
        <f>SUM(I14:I28)</f>
        <v>50</v>
      </c>
      <c r="J30" s="20">
        <f>SUM(J14:J29)</f>
        <v>444352</v>
      </c>
      <c r="K30" s="20">
        <f>SUM(K14:K29)</f>
        <v>47802</v>
      </c>
      <c r="L30" s="20"/>
      <c r="M30" s="20"/>
      <c r="N30" s="21">
        <f>SUM(N14:N29)</f>
        <v>396988</v>
      </c>
      <c r="O30" s="19"/>
      <c r="P30" s="19"/>
      <c r="Q30" s="19"/>
      <c r="R30" s="22">
        <f>SUM(R14:R29)</f>
        <v>211759.83099999998</v>
      </c>
      <c r="S30" s="23"/>
      <c r="T30" s="24">
        <f>SUM(T14:T29)</f>
        <v>183570.03999999998</v>
      </c>
      <c r="U30" s="19"/>
      <c r="V30" s="19"/>
      <c r="W30" s="19"/>
      <c r="X30" s="19"/>
    </row>
    <row r="31" spans="2:24" ht="18.75" hidden="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W31" s="9"/>
      <c r="X31" s="9"/>
    </row>
    <row r="32" spans="2:24" ht="18.75" hidden="1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9"/>
      <c r="X32" s="9"/>
    </row>
    <row r="33" spans="2:24" ht="18.75" hidden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9"/>
      <c r="X33" s="9"/>
    </row>
    <row r="34" spans="2:24" ht="18.75" hidden="1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9"/>
      <c r="X34" s="9"/>
    </row>
    <row r="35" spans="2:24" ht="18.75" hidden="1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9"/>
      <c r="W35" s="9"/>
      <c r="X35" s="9"/>
    </row>
    <row r="36" spans="2:24" ht="18.75" hidden="1" x14ac:dyDescent="0.25">
      <c r="B36" s="65" t="s">
        <v>19</v>
      </c>
      <c r="C36" s="66"/>
      <c r="D36" s="66"/>
      <c r="E36" s="6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9"/>
      <c r="W36" s="9"/>
      <c r="X36" s="9"/>
    </row>
    <row r="37" spans="2:24" ht="18.75" hidden="1" x14ac:dyDescent="0.25">
      <c r="B37" s="10" t="s">
        <v>9</v>
      </c>
      <c r="C37" s="72" t="s">
        <v>22</v>
      </c>
      <c r="D37" s="72"/>
      <c r="E37" s="72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9"/>
      <c r="W37" s="9"/>
      <c r="X37" s="9"/>
    </row>
    <row r="38" spans="2:24" ht="18.75" hidden="1" x14ac:dyDescent="0.25">
      <c r="B38" s="10" t="s">
        <v>10</v>
      </c>
      <c r="C38" s="72" t="s">
        <v>22</v>
      </c>
      <c r="D38" s="72"/>
      <c r="E38" s="72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9"/>
      <c r="W38" s="9"/>
      <c r="X38" s="9"/>
    </row>
    <row r="39" spans="2:24" ht="18.75" hidden="1" x14ac:dyDescent="0.25">
      <c r="B39" s="10" t="s">
        <v>11</v>
      </c>
      <c r="C39" s="72" t="s">
        <v>24</v>
      </c>
      <c r="D39" s="72"/>
      <c r="E39" s="72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9"/>
      <c r="W39" s="9"/>
      <c r="X39" s="9"/>
    </row>
    <row r="40" spans="2:24" ht="18.75" hidden="1" x14ac:dyDescent="0.25">
      <c r="B40" s="10" t="s">
        <v>12</v>
      </c>
      <c r="C40" s="72" t="s">
        <v>22</v>
      </c>
      <c r="D40" s="72"/>
      <c r="E40" s="7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9"/>
      <c r="W40" s="9"/>
      <c r="X40" s="9"/>
    </row>
    <row r="41" spans="2:24" ht="18.75" hidden="1" x14ac:dyDescent="0.25">
      <c r="B41" s="10" t="s">
        <v>20</v>
      </c>
      <c r="C41" s="72" t="s">
        <v>23</v>
      </c>
      <c r="D41" s="72"/>
      <c r="E41" s="72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9"/>
      <c r="W41" s="9"/>
      <c r="X41" s="9"/>
    </row>
    <row r="42" spans="2:24" ht="18.75" hidden="1" x14ac:dyDescent="0.25">
      <c r="B42" s="11" t="s">
        <v>21</v>
      </c>
      <c r="C42" s="73" t="s">
        <v>24</v>
      </c>
      <c r="D42" s="73"/>
      <c r="E42" s="7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9"/>
      <c r="W42" s="9"/>
      <c r="X42" s="9"/>
    </row>
    <row r="43" spans="2:24" ht="45" customHeight="1" x14ac:dyDescent="0.25">
      <c r="B43" s="12"/>
      <c r="C43" s="71"/>
      <c r="D43" s="71"/>
      <c r="E43" s="7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9"/>
      <c r="W43" s="9"/>
      <c r="X43" s="9"/>
    </row>
    <row r="44" spans="2:24" ht="51" customHeight="1" x14ac:dyDescent="0.25">
      <c r="B44" s="43"/>
      <c r="C44" s="43"/>
      <c r="D44" s="43"/>
      <c r="E44" s="43"/>
      <c r="F44" s="43"/>
      <c r="G44" s="43"/>
    </row>
    <row r="47" spans="2:24" ht="51" customHeight="1" x14ac:dyDescent="0.25">
      <c r="L47" s="46"/>
    </row>
  </sheetData>
  <mergeCells count="12">
    <mergeCell ref="C43:E43"/>
    <mergeCell ref="C37:E37"/>
    <mergeCell ref="C38:E38"/>
    <mergeCell ref="C39:E39"/>
    <mergeCell ref="C40:E40"/>
    <mergeCell ref="C41:E41"/>
    <mergeCell ref="C42:E42"/>
    <mergeCell ref="U9:V9"/>
    <mergeCell ref="B36:E36"/>
    <mergeCell ref="B5:T6"/>
    <mergeCell ref="B8:E8"/>
    <mergeCell ref="E12:I12"/>
  </mergeCells>
  <phoneticPr fontId="6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01 (2)</vt:lpstr>
      <vt:lpstr>'01 (2)'!Area_de_impressao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Psiculturas</cp:lastModifiedBy>
  <cp:lastPrinted>2025-03-03T17:34:28Z</cp:lastPrinted>
  <dcterms:created xsi:type="dcterms:W3CDTF">2015-06-05T18:19:34Z</dcterms:created>
  <dcterms:modified xsi:type="dcterms:W3CDTF">2025-03-03T17:34:52Z</dcterms:modified>
</cp:coreProperties>
</file>