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Z:\Pisciculturas Dona Frida\Dona Frida Engorda\Biometrias Tilapia\2024\"/>
    </mc:Choice>
  </mc:AlternateContent>
  <xr:revisionPtr revIDLastSave="0" documentId="13_ncr:1_{7D9AD8E4-59BD-4020-968B-595494D94851}" xr6:coauthVersionLast="47" xr6:coauthVersionMax="47" xr10:uidLastSave="{00000000-0000-0000-0000-000000000000}"/>
  <bookViews>
    <workbookView xWindow="-120" yWindow="-120" windowWidth="20730" windowHeight="11310" tabRatio="417" xr2:uid="{00000000-000D-0000-FFFF-FFFF00000000}"/>
  </bookViews>
  <sheets>
    <sheet name="01 (2)" sheetId="9" r:id="rId1"/>
    <sheet name="Planilha1" sheetId="10" r:id="rId2"/>
    <sheet name="01" sheetId="1" r:id="rId3"/>
    <sheet name="RESUMO" sheetId="8" r:id="rId4"/>
  </sheets>
  <definedNames>
    <definedName name="_xlnm.Print_Area" localSheetId="2">'01'!$B$4:$W$42</definedName>
    <definedName name="_xlnm.Print_Area" localSheetId="0">'01 (2)'!$4:$28</definedName>
    <definedName name="_xlnm.Print_Area" localSheetId="3">RESUMO!$C$2:$L$63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9" l="1"/>
  <c r="J28" i="9"/>
  <c r="R21" i="9"/>
  <c r="R22" i="9"/>
  <c r="R24" i="9"/>
  <c r="R25" i="9"/>
  <c r="R26" i="9"/>
  <c r="T21" i="9"/>
  <c r="T22" i="9"/>
  <c r="T24" i="9"/>
  <c r="T25" i="9"/>
  <c r="T26" i="9"/>
  <c r="V19" i="9"/>
  <c r="V20" i="9"/>
  <c r="V21" i="9"/>
  <c r="V22" i="9"/>
  <c r="V23" i="9"/>
  <c r="V24" i="9"/>
  <c r="V25" i="9"/>
  <c r="V26" i="9"/>
  <c r="V27" i="9"/>
  <c r="V14" i="9"/>
  <c r="T20" i="9"/>
  <c r="R20" i="9"/>
  <c r="S26" i="9" l="1"/>
  <c r="S21" i="9"/>
  <c r="S25" i="9"/>
  <c r="S20" i="9"/>
  <c r="S24" i="9"/>
  <c r="S22" i="9"/>
  <c r="T14" i="9"/>
  <c r="R14" i="9"/>
  <c r="S14" i="9" l="1"/>
  <c r="T17" i="9"/>
  <c r="V17" i="9"/>
  <c r="R17" i="9"/>
  <c r="R16" i="9"/>
  <c r="S17" i="9" l="1"/>
  <c r="T15" i="9"/>
  <c r="R18" i="9"/>
  <c r="T18" i="9"/>
  <c r="V18" i="9"/>
  <c r="R19" i="9"/>
  <c r="T19" i="9"/>
  <c r="V16" i="9"/>
  <c r="T16" i="9"/>
  <c r="V15" i="9"/>
  <c r="R15" i="9"/>
  <c r="F8" i="9" l="1"/>
  <c r="K8" i="9" s="1"/>
  <c r="S18" i="9"/>
  <c r="S19" i="9"/>
  <c r="S16" i="9"/>
  <c r="S15" i="9"/>
  <c r="C13" i="10" l="1"/>
  <c r="E5" i="10"/>
  <c r="E6" i="10"/>
  <c r="E7" i="10"/>
  <c r="E8" i="10"/>
  <c r="E9" i="10"/>
  <c r="E10" i="10"/>
  <c r="E11" i="10"/>
  <c r="E12" i="10"/>
  <c r="E4" i="10"/>
  <c r="E13" i="10" l="1"/>
  <c r="D15" i="10" s="1"/>
  <c r="I28" i="9"/>
  <c r="C28" i="9"/>
  <c r="N21" i="1"/>
  <c r="R28" i="9" l="1"/>
  <c r="G10" i="1" l="1"/>
  <c r="N19" i="1"/>
  <c r="N17" i="1"/>
  <c r="R25" i="1"/>
  <c r="V25" i="1"/>
  <c r="T25" i="1"/>
  <c r="T24" i="1"/>
  <c r="V24" i="1"/>
  <c r="R24" i="1"/>
  <c r="F10" i="1" l="1"/>
  <c r="K10" i="1" s="1"/>
  <c r="G9" i="1"/>
  <c r="S25" i="1"/>
  <c r="S24" i="1"/>
  <c r="H19" i="1"/>
  <c r="V22" i="1" l="1"/>
  <c r="T22" i="1"/>
  <c r="R22" i="1"/>
  <c r="S22" i="1" l="1"/>
  <c r="N26" i="1"/>
  <c r="G8" i="1" s="1"/>
  <c r="J26" i="1"/>
  <c r="H17" i="1"/>
  <c r="H16" i="1"/>
  <c r="K16" i="1"/>
  <c r="T16" i="1"/>
  <c r="V21" i="1" l="1"/>
  <c r="T21" i="1"/>
  <c r="R21" i="1"/>
  <c r="V17" i="1"/>
  <c r="T17" i="1"/>
  <c r="R17" i="1"/>
  <c r="S21" i="1" l="1"/>
  <c r="S17" i="1"/>
  <c r="V26" i="1"/>
  <c r="R26" i="1" l="1"/>
  <c r="T19" i="1"/>
  <c r="F9" i="1" s="1"/>
  <c r="R19" i="1"/>
  <c r="V19" i="1"/>
  <c r="K18" i="1"/>
  <c r="R16" i="1"/>
  <c r="R18" i="1"/>
  <c r="I27" i="1"/>
  <c r="C27" i="1"/>
  <c r="V18" i="1"/>
  <c r="V16" i="1"/>
  <c r="T26" i="1"/>
  <c r="F8" i="1" s="1"/>
  <c r="K8" i="1" s="1"/>
  <c r="T18" i="1"/>
  <c r="S19" i="1" l="1"/>
  <c r="S26" i="1"/>
  <c r="S18" i="1"/>
  <c r="C26" i="8" l="1"/>
  <c r="C25" i="8"/>
  <c r="C24" i="8"/>
  <c r="C23" i="8"/>
  <c r="C22" i="8"/>
  <c r="H13" i="8" l="1"/>
  <c r="H12" i="8"/>
  <c r="F13" i="8"/>
  <c r="E13" i="8"/>
  <c r="D13" i="8"/>
  <c r="G12" i="8"/>
  <c r="F12" i="8"/>
  <c r="E12" i="8"/>
  <c r="D12" i="8"/>
  <c r="I11" i="8"/>
  <c r="E11" i="8"/>
  <c r="F11" i="8"/>
  <c r="G11" i="8"/>
  <c r="H11" i="8"/>
  <c r="L11" i="8"/>
  <c r="H8" i="8"/>
  <c r="G7" i="8"/>
  <c r="F7" i="8"/>
  <c r="E7" i="8"/>
  <c r="D7" i="8"/>
  <c r="I12" i="8" l="1"/>
  <c r="H14" i="8"/>
  <c r="E14" i="8"/>
  <c r="F14" i="8"/>
  <c r="D11" i="8"/>
  <c r="D8" i="8"/>
  <c r="E8" i="8"/>
  <c r="E9" i="8" s="1"/>
  <c r="D23" i="8" s="1"/>
  <c r="F8" i="8"/>
  <c r="F9" i="8" s="1"/>
  <c r="D24" i="8" s="1"/>
  <c r="H7" i="8" l="1"/>
  <c r="I14" i="8"/>
  <c r="L12" i="8" l="1"/>
  <c r="H9" i="8"/>
  <c r="D26" i="8" s="1"/>
  <c r="I7" i="8"/>
  <c r="K7" i="8" s="1"/>
  <c r="L14" i="8" l="1"/>
  <c r="D18" i="8"/>
  <c r="D9" i="8" l="1"/>
  <c r="D22" i="8" s="1"/>
  <c r="I9" i="8" l="1"/>
  <c r="D14" i="8" l="1"/>
  <c r="K9" i="8" l="1"/>
  <c r="G13" i="8"/>
  <c r="I13" i="8" s="1"/>
  <c r="L13" i="8" s="1"/>
  <c r="G11" i="1"/>
  <c r="K27" i="1"/>
  <c r="S16" i="1" l="1"/>
  <c r="G14" i="8"/>
  <c r="G8" i="8"/>
  <c r="K9" i="1" l="1"/>
  <c r="F11" i="1"/>
  <c r="G9" i="8"/>
  <c r="L8" i="8" s="1"/>
  <c r="I8" i="8"/>
  <c r="H10" i="1" l="1"/>
  <c r="H11" i="1"/>
  <c r="H8" i="1"/>
  <c r="H9" i="1"/>
  <c r="L7" i="8"/>
  <c r="L9" i="8" s="1"/>
  <c r="D25" i="8"/>
  <c r="D19" i="8"/>
  <c r="K8" i="8"/>
  <c r="R27" i="1"/>
  <c r="H27" i="1"/>
  <c r="J27" i="1"/>
  <c r="T27" i="1" l="1"/>
  <c r="N27" i="1"/>
  <c r="H28" i="9"/>
  <c r="N28" i="9"/>
  <c r="K28" i="9"/>
  <c r="T28" i="9" l="1"/>
</calcChain>
</file>

<file path=xl/sharedStrings.xml><?xml version="1.0" encoding="utf-8"?>
<sst xmlns="http://schemas.openxmlformats.org/spreadsheetml/2006/main" count="192" uniqueCount="93">
  <si>
    <t>UNID.PRODUÇÃO</t>
  </si>
  <si>
    <t>ESPÉCIE</t>
  </si>
  <si>
    <t>PESO ANTERIOR</t>
  </si>
  <si>
    <t>PESO ATUAL</t>
  </si>
  <si>
    <t>BIOM ANTERIOR</t>
  </si>
  <si>
    <t>BIOM ATUAL</t>
  </si>
  <si>
    <t>RAÇÃO</t>
  </si>
  <si>
    <t>%CRESC.</t>
  </si>
  <si>
    <t>TOTAL DE BIOMASSA PINTADO</t>
  </si>
  <si>
    <t>TAMB</t>
  </si>
  <si>
    <t>PINT</t>
  </si>
  <si>
    <t>TOTAL BIOMASSA PINTADO</t>
  </si>
  <si>
    <t>TOTAIS DE BIOMASSA</t>
  </si>
  <si>
    <t>TOTAIS DE PEIXES</t>
  </si>
  <si>
    <t>TOTAL PEIXES PINTADO</t>
  </si>
  <si>
    <t>PINTADO</t>
  </si>
  <si>
    <t>TAMBAQUI</t>
  </si>
  <si>
    <t>POVOAMENTO</t>
  </si>
  <si>
    <t>PESO DO POVOAMENTO</t>
  </si>
  <si>
    <t>RESUMO DE BIOMASSA TODOS OS SETORES</t>
  </si>
  <si>
    <t>BARRAGEM 03 PINH.</t>
  </si>
  <si>
    <t>BARRAGEM 01</t>
  </si>
  <si>
    <t>BARRAGEM 02</t>
  </si>
  <si>
    <t>BARRAGEM 03</t>
  </si>
  <si>
    <t>RACEWAY 01</t>
  </si>
  <si>
    <t>RACEWAY 04</t>
  </si>
  <si>
    <t>RACEWAY 05</t>
  </si>
  <si>
    <t>TOTAL PEIXES TAMBATINGA</t>
  </si>
  <si>
    <t>BARR 1</t>
  </si>
  <si>
    <t>BARR 2</t>
  </si>
  <si>
    <t>BARR 3</t>
  </si>
  <si>
    <t>TRES PINHEIROS</t>
  </si>
  <si>
    <t>RACEWAY</t>
  </si>
  <si>
    <t>%</t>
  </si>
  <si>
    <t>TOTAL</t>
  </si>
  <si>
    <t>TOTAL BIOMASSA TAMBATINGA</t>
  </si>
  <si>
    <t>TOTAL DE BIOMASSA TAMBATINGA</t>
  </si>
  <si>
    <t>24 % 10-12 mm</t>
  </si>
  <si>
    <t>Nº DE PEIXES ATUAL</t>
  </si>
  <si>
    <t>Nº DE PEIXES ANTERIOR</t>
  </si>
  <si>
    <t>RACEWAY 02</t>
  </si>
  <si>
    <t>ULTIMA BIOMETRIA</t>
  </si>
  <si>
    <t>RACEWAY 03</t>
  </si>
  <si>
    <t>PISC. DONA FRIDA 02/2021</t>
  </si>
  <si>
    <t>TOTAL -------------------------------------------------------------------------------------------------------------------</t>
  </si>
  <si>
    <t>QUANTIDADE  INICIAL</t>
  </si>
  <si>
    <t>AREA</t>
  </si>
  <si>
    <t>OBSERVAÇÕES</t>
  </si>
  <si>
    <t>RACEWAY 1</t>
  </si>
  <si>
    <t>RACEWAY 2</t>
  </si>
  <si>
    <t>DESPESCAS</t>
  </si>
  <si>
    <t>PRONTO PARA ABATE</t>
  </si>
  <si>
    <t>DESENVOLVIMENTO</t>
  </si>
  <si>
    <t>PEIXES VENDIDOS (POVOAMENTO ATÉ ATUAL)</t>
  </si>
  <si>
    <t>QUEBRA (PX)</t>
  </si>
  <si>
    <t>PEIXES VENDIDOS (PERIODO)</t>
  </si>
  <si>
    <t>VARIAÇÃO DE BIOMASSA</t>
  </si>
  <si>
    <t>BARRAGEM 01 (NOVA)</t>
  </si>
  <si>
    <t>SEM PX</t>
  </si>
  <si>
    <t>PEIXES TRANSFERIDOS (PERIODO)</t>
  </si>
  <si>
    <t>-</t>
  </si>
  <si>
    <t xml:space="preserve">LOCAL DA TRANSFERÊNCIA </t>
  </si>
  <si>
    <t>BARRAGEM 03 PINH. (NOVA)</t>
  </si>
  <si>
    <t>Barragem 3 recebeu 28311 tambatinga do AN1 (laboratorio) no dia 06-12-2021.</t>
  </si>
  <si>
    <t>TILAPIA</t>
  </si>
  <si>
    <t>TOTAL DE BIOMASSA TILAPIA</t>
  </si>
  <si>
    <t>36% 2-4 mm</t>
  </si>
  <si>
    <t>28 % 8-10 mm</t>
  </si>
  <si>
    <t>32 % 6-8 mm</t>
  </si>
  <si>
    <t>40 % 4-6 mm</t>
  </si>
  <si>
    <t>36 % 2-4 mm</t>
  </si>
  <si>
    <t>PISC. DONA FRIDA 04/2022</t>
  </si>
  <si>
    <t>Posição até 31/04/2022</t>
  </si>
  <si>
    <t>BIOMASSA  ANTERIOR</t>
  </si>
  <si>
    <t>TANQUE 01</t>
  </si>
  <si>
    <t>TANQUE 02</t>
  </si>
  <si>
    <t>TANQUE 03</t>
  </si>
  <si>
    <t>TANQUE 04</t>
  </si>
  <si>
    <t>TANQUE 05</t>
  </si>
  <si>
    <t>TANQUE 06</t>
  </si>
  <si>
    <t>TANQUE 07</t>
  </si>
  <si>
    <t>TANQUE 08</t>
  </si>
  <si>
    <t>TANQUE 09</t>
  </si>
  <si>
    <t>TANQUE 10</t>
  </si>
  <si>
    <t>TANQUE 11</t>
  </si>
  <si>
    <t>TANQUE 12</t>
  </si>
  <si>
    <t>TANQUE 13</t>
  </si>
  <si>
    <t>TANQUE 14</t>
  </si>
  <si>
    <t xml:space="preserve"> 0 px</t>
  </si>
  <si>
    <t>0 px</t>
  </si>
  <si>
    <t>32%  4-6 mm</t>
  </si>
  <si>
    <t>PISC. DONA FRIDA 09/2024 - ENGORDA TILÁPIA SETOR 1</t>
  </si>
  <si>
    <t>Posição até 30/09/2024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</si>
</sst>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R$&quot;\ #,##0;\-&quot;R$&quot;\ #,##0"/>
    <numFmt numFmtId="165" formatCode="_(&quot;R$&quot;* #,##0.00_);_(&quot;R$&quot;* \(#,##0.00\);_(&quot;R$&quot;* &quot;-&quot;??_);_(@_)"/>
    <numFmt numFmtId="166" formatCode="_(* #,##0.00_);_(* \(#,##0.00\);_(* &quot;-&quot;??_);_(@_)"/>
    <numFmt numFmtId="167" formatCode="General\ &quot;g&quot;"/>
    <numFmt numFmtId="168" formatCode="#,##0\ &quot;Kg&quot;"/>
    <numFmt numFmtId="169" formatCode="#,##0\ &quot;pxs&quot;"/>
    <numFmt numFmtId="170" formatCode="#,##0.00\ &quot;Kg&quot;"/>
    <numFmt numFmtId="171" formatCode="#,##0\ &quot;g&quot;"/>
    <numFmt numFmtId="172" formatCode="#,##0\ &quot;Kg&quot;;[Red]\-#,##0\ &quot;Kg&quot;"/>
    <numFmt numFmtId="173" formatCode="0.00%;[Red]\-\ 0.00%"/>
    <numFmt numFmtId="174" formatCode="#,##0\ &quot;px&quot;"/>
    <numFmt numFmtId="175" formatCode="General\ &quot;ha&quot;"/>
    <numFmt numFmtId="176" formatCode="&quot;R$&quot;#,##0.0&quot;/Kg&quot;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rgb="FF0070C0"/>
      </top>
      <bottom/>
      <diagonal/>
    </border>
    <border>
      <left style="thin">
        <color indexed="64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2060"/>
      </bottom>
      <diagonal/>
    </border>
    <border>
      <left/>
      <right/>
      <top style="thin">
        <color rgb="FF0070C0"/>
      </top>
      <bottom style="thin">
        <color rgb="FF002060"/>
      </bottom>
      <diagonal/>
    </border>
    <border>
      <left style="thin">
        <color rgb="FF0070C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theme="8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8">
    <xf numFmtId="0" fontId="0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165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5" fillId="5" borderId="8" xfId="5" applyFont="1" applyBorder="1" applyProtection="1"/>
    <xf numFmtId="0" fontId="14" fillId="5" borderId="8" xfId="5" applyFont="1" applyBorder="1" applyProtection="1"/>
    <xf numFmtId="169" fontId="14" fillId="5" borderId="9" xfId="5" applyNumberFormat="1" applyFont="1" applyBorder="1" applyAlignment="1" applyProtection="1">
      <alignment horizontal="center" vertical="center"/>
    </xf>
    <xf numFmtId="170" fontId="11" fillId="0" borderId="0" xfId="0" applyNumberFormat="1" applyFont="1" applyAlignment="1">
      <alignment horizontal="center" vertical="center"/>
    </xf>
    <xf numFmtId="9" fontId="11" fillId="0" borderId="0" xfId="2" applyFont="1" applyAlignment="1" applyProtection="1">
      <alignment horizontal="center" vertical="center"/>
    </xf>
    <xf numFmtId="0" fontId="10" fillId="6" borderId="10" xfId="6" applyBorder="1" applyProtection="1"/>
    <xf numFmtId="168" fontId="15" fillId="6" borderId="11" xfId="6" applyNumberFormat="1" applyFont="1" applyBorder="1" applyAlignment="1" applyProtection="1">
      <alignment horizontal="center" vertical="center"/>
    </xf>
    <xf numFmtId="0" fontId="2" fillId="0" borderId="8" xfId="0" applyFont="1" applyBorder="1" applyAlignment="1">
      <alignment horizontal="left"/>
    </xf>
    <xf numFmtId="9" fontId="15" fillId="6" borderId="11" xfId="2" applyFont="1" applyFill="1" applyBorder="1" applyAlignment="1" applyProtection="1">
      <alignment horizontal="center" vertical="center"/>
    </xf>
    <xf numFmtId="9" fontId="14" fillId="5" borderId="9" xfId="2" applyFont="1" applyFill="1" applyBorder="1" applyAlignment="1" applyProtection="1">
      <alignment horizontal="center" vertical="center"/>
    </xf>
    <xf numFmtId="0" fontId="12" fillId="7" borderId="14" xfId="0" applyFont="1" applyFill="1" applyBorder="1"/>
    <xf numFmtId="0" fontId="3" fillId="0" borderId="16" xfId="0" applyFont="1" applyBorder="1" applyAlignment="1">
      <alignment horizontal="left"/>
    </xf>
    <xf numFmtId="9" fontId="11" fillId="0" borderId="17" xfId="2" applyFont="1" applyBorder="1" applyAlignment="1" applyProtection="1">
      <alignment horizontal="center"/>
    </xf>
    <xf numFmtId="0" fontId="3" fillId="0" borderId="8" xfId="0" applyFont="1" applyBorder="1" applyAlignment="1">
      <alignment horizontal="left"/>
    </xf>
    <xf numFmtId="168" fontId="11" fillId="0" borderId="0" xfId="0" applyNumberFormat="1" applyFont="1" applyAlignment="1">
      <alignment horizontal="center" vertical="center"/>
    </xf>
    <xf numFmtId="17" fontId="0" fillId="0" borderId="0" xfId="0" applyNumberFormat="1"/>
    <xf numFmtId="17" fontId="14" fillId="7" borderId="15" xfId="0" applyNumberFormat="1" applyFont="1" applyFill="1" applyBorder="1" applyAlignment="1">
      <alignment horizontal="center" vertical="center"/>
    </xf>
    <xf numFmtId="168" fontId="11" fillId="0" borderId="17" xfId="1" applyNumberFormat="1" applyFont="1" applyBorder="1" applyAlignment="1" applyProtection="1">
      <alignment horizontal="center" vertical="center"/>
    </xf>
    <xf numFmtId="168" fontId="5" fillId="2" borderId="17" xfId="3" applyNumberFormat="1" applyBorder="1" applyAlignment="1" applyProtection="1">
      <alignment horizontal="center" vertical="center"/>
    </xf>
    <xf numFmtId="17" fontId="14" fillId="5" borderId="9" xfId="5" applyNumberFormat="1" applyFont="1" applyBorder="1" applyAlignment="1" applyProtection="1">
      <alignment horizontal="center" vertical="center"/>
    </xf>
    <xf numFmtId="169" fontId="11" fillId="0" borderId="9" xfId="1" applyNumberFormat="1" applyFont="1" applyBorder="1" applyAlignment="1" applyProtection="1">
      <alignment horizontal="center" vertical="center"/>
    </xf>
    <xf numFmtId="169" fontId="5" fillId="2" borderId="9" xfId="3" applyNumberFormat="1" applyBorder="1" applyAlignment="1" applyProtection="1">
      <alignment horizontal="center" vertical="center"/>
    </xf>
    <xf numFmtId="9" fontId="11" fillId="0" borderId="9" xfId="2" applyFont="1" applyBorder="1" applyAlignment="1" applyProtection="1">
      <alignment horizontal="center" vertical="center"/>
    </xf>
    <xf numFmtId="0" fontId="1" fillId="0" borderId="16" xfId="0" applyFont="1" applyBorder="1" applyAlignment="1">
      <alignment horizontal="left"/>
    </xf>
    <xf numFmtId="165" fontId="5" fillId="2" borderId="17" xfId="7" applyFont="1" applyFill="1" applyBorder="1" applyAlignment="1" applyProtection="1">
      <alignment horizontal="center" vertical="center"/>
    </xf>
    <xf numFmtId="165" fontId="15" fillId="6" borderId="11" xfId="7" applyFont="1" applyFill="1" applyBorder="1" applyAlignment="1" applyProtection="1">
      <alignment horizontal="center" vertical="center"/>
    </xf>
    <xf numFmtId="9" fontId="17" fillId="0" borderId="0" xfId="2" applyFont="1" applyFill="1" applyBorder="1" applyAlignment="1" applyProtection="1">
      <alignment horizontal="right" vertical="center" indent="4"/>
    </xf>
    <xf numFmtId="9" fontId="18" fillId="0" borderId="0" xfId="2" applyFont="1" applyFill="1" applyBorder="1" applyAlignment="1" applyProtection="1">
      <alignment horizontal="right" vertical="center" indent="4"/>
    </xf>
    <xf numFmtId="174" fontId="17" fillId="0" borderId="2" xfId="3" applyNumberFormat="1" applyFont="1" applyFill="1" applyBorder="1" applyAlignment="1" applyProtection="1">
      <alignment horizontal="right" vertical="center"/>
    </xf>
    <xf numFmtId="174" fontId="18" fillId="0" borderId="2" xfId="4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4" borderId="5" xfId="0" applyFont="1" applyFill="1" applyBorder="1" applyAlignment="1">
      <alignment horizontal="center" vertical="center"/>
    </xf>
    <xf numFmtId="175" fontId="21" fillId="4" borderId="13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 applyProtection="1">
      <alignment horizontal="center" vertical="center"/>
      <protection locked="0"/>
    </xf>
    <xf numFmtId="14" fontId="21" fillId="4" borderId="6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Font="1" applyBorder="1" applyAlignment="1">
      <alignment horizontal="center" vertical="center"/>
    </xf>
    <xf numFmtId="175" fontId="21" fillId="0" borderId="13" xfId="0" applyNumberFormat="1" applyFont="1" applyBorder="1" applyAlignment="1">
      <alignment horizontal="center" vertical="center"/>
    </xf>
    <xf numFmtId="0" fontId="22" fillId="0" borderId="6" xfId="0" applyFont="1" applyBorder="1" applyAlignment="1" applyProtection="1">
      <alignment horizontal="center" vertical="center"/>
      <protection locked="0"/>
    </xf>
    <xf numFmtId="14" fontId="21" fillId="0" borderId="6" xfId="0" applyNumberFormat="1" applyFont="1" applyBorder="1" applyAlignment="1" applyProtection="1">
      <alignment horizontal="center" vertical="center"/>
      <protection locked="0"/>
    </xf>
    <xf numFmtId="0" fontId="21" fillId="8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14" fontId="21" fillId="8" borderId="6" xfId="0" applyNumberFormat="1" applyFont="1" applyFill="1" applyBorder="1" applyAlignment="1" applyProtection="1">
      <alignment horizontal="center" vertical="center"/>
      <protection locked="0"/>
    </xf>
    <xf numFmtId="0" fontId="21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>
      <alignment vertical="center"/>
    </xf>
    <xf numFmtId="175" fontId="22" fillId="0" borderId="6" xfId="0" applyNumberFormat="1" applyFont="1" applyBorder="1" applyAlignment="1" applyProtection="1">
      <alignment horizontal="right" vertical="center"/>
      <protection locked="0"/>
    </xf>
    <xf numFmtId="175" fontId="22" fillId="0" borderId="12" xfId="0" applyNumberFormat="1" applyFont="1" applyBorder="1" applyAlignment="1" applyProtection="1">
      <alignment horizontal="right" vertical="center"/>
      <protection locked="0"/>
    </xf>
    <xf numFmtId="0" fontId="21" fillId="0" borderId="0" xfId="0" applyFont="1" applyAlignment="1">
      <alignment horizontal="center" vertical="center"/>
    </xf>
    <xf numFmtId="169" fontId="22" fillId="0" borderId="6" xfId="0" applyNumberFormat="1" applyFont="1" applyBorder="1" applyAlignment="1" applyProtection="1">
      <alignment horizontal="right" vertical="center"/>
      <protection locked="0"/>
    </xf>
    <xf numFmtId="174" fontId="22" fillId="0" borderId="6" xfId="0" applyNumberFormat="1" applyFont="1" applyBorder="1" applyAlignment="1" applyProtection="1">
      <alignment horizontal="right" vertical="center" indent="1"/>
      <protection locked="0"/>
    </xf>
    <xf numFmtId="168" fontId="22" fillId="0" borderId="22" xfId="1" applyNumberFormat="1" applyFont="1" applyFill="1" applyBorder="1" applyAlignment="1" applyProtection="1">
      <alignment horizontal="right" vertical="center" indent="1"/>
    </xf>
    <xf numFmtId="168" fontId="22" fillId="0" borderId="20" xfId="1" applyNumberFormat="1" applyFont="1" applyFill="1" applyBorder="1" applyAlignment="1" applyProtection="1">
      <alignment horizontal="right" vertical="center" indent="1"/>
    </xf>
    <xf numFmtId="168" fontId="22" fillId="0" borderId="21" xfId="1" applyNumberFormat="1" applyFont="1" applyFill="1" applyBorder="1" applyAlignment="1" applyProtection="1">
      <alignment horizontal="right" vertical="center" indent="1"/>
    </xf>
    <xf numFmtId="167" fontId="16" fillId="4" borderId="6" xfId="0" applyNumberFormat="1" applyFont="1" applyFill="1" applyBorder="1" applyAlignment="1" applyProtection="1">
      <alignment horizontal="center" vertical="center"/>
      <protection locked="0"/>
    </xf>
    <xf numFmtId="174" fontId="16" fillId="4" borderId="6" xfId="0" applyNumberFormat="1" applyFont="1" applyFill="1" applyBorder="1" applyAlignment="1" applyProtection="1">
      <alignment horizontal="center" vertical="center"/>
      <protection locked="0"/>
    </xf>
    <xf numFmtId="171" fontId="16" fillId="8" borderId="6" xfId="0" applyNumberFormat="1" applyFont="1" applyFill="1" applyBorder="1" applyAlignment="1" applyProtection="1">
      <alignment horizontal="center" vertical="center"/>
      <protection locked="0"/>
    </xf>
    <xf numFmtId="14" fontId="16" fillId="8" borderId="6" xfId="0" applyNumberFormat="1" applyFont="1" applyFill="1" applyBorder="1" applyAlignment="1" applyProtection="1">
      <alignment horizontal="center" vertical="center"/>
      <protection locked="0"/>
    </xf>
    <xf numFmtId="168" fontId="16" fillId="4" borderId="6" xfId="1" applyNumberFormat="1" applyFont="1" applyFill="1" applyBorder="1" applyAlignment="1" applyProtection="1">
      <alignment horizontal="center" vertical="center"/>
    </xf>
    <xf numFmtId="172" fontId="16" fillId="4" borderId="6" xfId="1" applyNumberFormat="1" applyFont="1" applyFill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173" fontId="16" fillId="4" borderId="7" xfId="2" applyNumberFormat="1" applyFont="1" applyFill="1" applyBorder="1" applyAlignment="1" applyProtection="1">
      <alignment horizontal="center" vertical="center"/>
    </xf>
    <xf numFmtId="167" fontId="16" fillId="0" borderId="6" xfId="0" applyNumberFormat="1" applyFont="1" applyBorder="1" applyAlignment="1" applyProtection="1">
      <alignment horizontal="center" vertical="center"/>
      <protection locked="0"/>
    </xf>
    <xf numFmtId="174" fontId="16" fillId="0" borderId="6" xfId="0" applyNumberFormat="1" applyFont="1" applyBorder="1" applyAlignment="1" applyProtection="1">
      <alignment horizontal="center" vertical="center"/>
      <protection locked="0"/>
    </xf>
    <xf numFmtId="171" fontId="16" fillId="0" borderId="6" xfId="0" applyNumberFormat="1" applyFont="1" applyBorder="1" applyAlignment="1" applyProtection="1">
      <alignment horizontal="center" vertical="center"/>
      <protection locked="0"/>
    </xf>
    <xf numFmtId="14" fontId="16" fillId="0" borderId="6" xfId="0" applyNumberFormat="1" applyFont="1" applyBorder="1" applyAlignment="1" applyProtection="1">
      <alignment horizontal="center" vertical="center"/>
      <protection locked="0"/>
    </xf>
    <xf numFmtId="168" fontId="16" fillId="0" borderId="6" xfId="1" applyNumberFormat="1" applyFont="1" applyFill="1" applyBorder="1" applyAlignment="1" applyProtection="1">
      <alignment horizontal="center" vertical="center"/>
    </xf>
    <xf numFmtId="172" fontId="16" fillId="0" borderId="6" xfId="1" applyNumberFormat="1" applyFont="1" applyFill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173" fontId="16" fillId="0" borderId="7" xfId="2" applyNumberFormat="1" applyFont="1" applyFill="1" applyBorder="1" applyAlignment="1" applyProtection="1">
      <alignment horizontal="center" vertical="center"/>
    </xf>
    <xf numFmtId="174" fontId="16" fillId="8" borderId="6" xfId="0" applyNumberFormat="1" applyFont="1" applyFill="1" applyBorder="1" applyAlignment="1" applyProtection="1">
      <alignment horizontal="center" vertical="center"/>
      <protection locked="0"/>
    </xf>
    <xf numFmtId="171" fontId="16" fillId="4" borderId="6" xfId="0" applyNumberFormat="1" applyFont="1" applyFill="1" applyBorder="1" applyAlignment="1" applyProtection="1">
      <alignment horizontal="center" vertical="center"/>
      <protection locked="0"/>
    </xf>
    <xf numFmtId="14" fontId="16" fillId="4" borderId="6" xfId="0" applyNumberFormat="1" applyFont="1" applyFill="1" applyBorder="1" applyAlignment="1" applyProtection="1">
      <alignment horizontal="center" vertical="center"/>
      <protection locked="0"/>
    </xf>
    <xf numFmtId="172" fontId="16" fillId="8" borderId="6" xfId="1" applyNumberFormat="1" applyFont="1" applyFill="1" applyBorder="1" applyAlignment="1" applyProtection="1">
      <alignment horizontal="center" vertical="center"/>
    </xf>
    <xf numFmtId="0" fontId="16" fillId="8" borderId="6" xfId="0" applyFont="1" applyFill="1" applyBorder="1" applyAlignment="1" applyProtection="1">
      <alignment horizontal="center" vertical="center"/>
      <protection locked="0"/>
    </xf>
    <xf numFmtId="173" fontId="16" fillId="8" borderId="7" xfId="2" applyNumberFormat="1" applyFont="1" applyFill="1" applyBorder="1" applyAlignment="1" applyProtection="1">
      <alignment horizontal="center" vertical="center"/>
    </xf>
    <xf numFmtId="167" fontId="16" fillId="8" borderId="6" xfId="0" applyNumberFormat="1" applyFont="1" applyFill="1" applyBorder="1" applyAlignment="1" applyProtection="1">
      <alignment horizontal="center" vertical="center"/>
      <protection locked="0"/>
    </xf>
    <xf numFmtId="167" fontId="16" fillId="9" borderId="6" xfId="0" applyNumberFormat="1" applyFont="1" applyFill="1" applyBorder="1" applyAlignment="1" applyProtection="1">
      <alignment horizontal="center" vertical="center"/>
      <protection locked="0"/>
    </xf>
    <xf numFmtId="174" fontId="16" fillId="10" borderId="6" xfId="0" applyNumberFormat="1" applyFont="1" applyFill="1" applyBorder="1" applyAlignment="1" applyProtection="1">
      <alignment horizontal="center" vertical="center"/>
      <protection locked="0"/>
    </xf>
    <xf numFmtId="174" fontId="16" fillId="9" borderId="6" xfId="0" applyNumberFormat="1" applyFont="1" applyFill="1" applyBorder="1" applyAlignment="1" applyProtection="1">
      <alignment horizontal="center" vertical="center"/>
      <protection locked="0"/>
    </xf>
    <xf numFmtId="171" fontId="16" fillId="9" borderId="6" xfId="0" applyNumberFormat="1" applyFont="1" applyFill="1" applyBorder="1" applyAlignment="1" applyProtection="1">
      <alignment horizontal="center" vertical="center"/>
      <protection locked="0"/>
    </xf>
    <xf numFmtId="168" fontId="16" fillId="10" borderId="6" xfId="1" applyNumberFormat="1" applyFont="1" applyFill="1" applyBorder="1" applyAlignment="1" applyProtection="1">
      <alignment horizontal="center" vertical="center"/>
    </xf>
    <xf numFmtId="172" fontId="16" fillId="9" borderId="6" xfId="1" applyNumberFormat="1" applyFont="1" applyFill="1" applyBorder="1" applyAlignment="1" applyProtection="1">
      <alignment horizontal="center" vertical="center"/>
    </xf>
    <xf numFmtId="168" fontId="16" fillId="9" borderId="6" xfId="1" applyNumberFormat="1" applyFont="1" applyFill="1" applyBorder="1" applyAlignment="1" applyProtection="1">
      <alignment horizontal="center" vertical="center"/>
    </xf>
    <xf numFmtId="0" fontId="16" fillId="9" borderId="6" xfId="0" applyFont="1" applyFill="1" applyBorder="1" applyAlignment="1" applyProtection="1">
      <alignment horizontal="center" vertical="center"/>
      <protection locked="0"/>
    </xf>
    <xf numFmtId="173" fontId="16" fillId="9" borderId="7" xfId="2" applyNumberFormat="1" applyFont="1" applyFill="1" applyBorder="1" applyAlignment="1" applyProtection="1">
      <alignment horizontal="center" vertical="center"/>
    </xf>
    <xf numFmtId="172" fontId="16" fillId="8" borderId="19" xfId="1" applyNumberFormat="1" applyFont="1" applyFill="1" applyBorder="1" applyAlignment="1" applyProtection="1">
      <alignment horizontal="center" vertical="center"/>
    </xf>
    <xf numFmtId="168" fontId="23" fillId="8" borderId="2" xfId="3" applyNumberFormat="1" applyFont="1" applyFill="1" applyBorder="1" applyAlignment="1" applyProtection="1">
      <alignment horizontal="right" vertical="center" indent="2"/>
    </xf>
    <xf numFmtId="174" fontId="23" fillId="8" borderId="2" xfId="3" applyNumberFormat="1" applyFont="1" applyFill="1" applyBorder="1" applyAlignment="1" applyProtection="1">
      <alignment horizontal="right" vertical="center"/>
    </xf>
    <xf numFmtId="9" fontId="23" fillId="8" borderId="2" xfId="2" applyFont="1" applyFill="1" applyBorder="1" applyAlignment="1" applyProtection="1">
      <alignment horizontal="right" vertical="center" indent="4"/>
    </xf>
    <xf numFmtId="0" fontId="8" fillId="0" borderId="0" xfId="0" applyFont="1" applyAlignment="1">
      <alignment horizontal="center" vertical="center"/>
    </xf>
    <xf numFmtId="168" fontId="24" fillId="3" borderId="2" xfId="4" applyNumberFormat="1" applyFont="1" applyBorder="1" applyAlignment="1" applyProtection="1">
      <alignment horizontal="right" vertical="center" indent="2"/>
    </xf>
    <xf numFmtId="174" fontId="24" fillId="3" borderId="2" xfId="4" applyNumberFormat="1" applyFont="1" applyBorder="1" applyAlignment="1" applyProtection="1">
      <alignment horizontal="right" vertical="center"/>
    </xf>
    <xf numFmtId="9" fontId="24" fillId="11" borderId="2" xfId="2" applyFont="1" applyFill="1" applyBorder="1" applyAlignment="1" applyProtection="1">
      <alignment horizontal="right" vertical="center" indent="4"/>
    </xf>
    <xf numFmtId="0" fontId="20" fillId="0" borderId="1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12" borderId="27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3" fontId="16" fillId="4" borderId="0" xfId="2" applyNumberFormat="1" applyFont="1" applyFill="1" applyBorder="1" applyAlignment="1" applyProtection="1">
      <alignment horizontal="center" vertical="center"/>
    </xf>
    <xf numFmtId="173" fontId="16" fillId="0" borderId="0" xfId="2" applyNumberFormat="1" applyFont="1" applyFill="1" applyBorder="1" applyAlignment="1" applyProtection="1">
      <alignment horizontal="center" vertical="center"/>
    </xf>
    <xf numFmtId="173" fontId="16" fillId="8" borderId="0" xfId="2" applyNumberFormat="1" applyFont="1" applyFill="1" applyBorder="1" applyAlignment="1" applyProtection="1">
      <alignment horizontal="center" vertical="center"/>
    </xf>
    <xf numFmtId="173" fontId="16" fillId="9" borderId="0" xfId="2" applyNumberFormat="1" applyFont="1" applyFill="1" applyBorder="1" applyAlignment="1" applyProtection="1">
      <alignment horizontal="center" vertical="center"/>
    </xf>
    <xf numFmtId="0" fontId="26" fillId="0" borderId="0" xfId="0" applyFont="1" applyAlignment="1">
      <alignment horizontal="left" vertical="center"/>
    </xf>
    <xf numFmtId="176" fontId="23" fillId="8" borderId="2" xfId="3" applyNumberFormat="1" applyFont="1" applyFill="1" applyBorder="1" applyAlignment="1" applyProtection="1">
      <alignment horizontal="right" vertical="center" indent="2"/>
    </xf>
    <xf numFmtId="164" fontId="23" fillId="8" borderId="2" xfId="3" applyNumberFormat="1" applyFont="1" applyFill="1" applyBorder="1" applyAlignment="1" applyProtection="1">
      <alignment vertical="center"/>
    </xf>
    <xf numFmtId="174" fontId="27" fillId="0" borderId="0" xfId="0" applyNumberFormat="1" applyFont="1" applyAlignment="1">
      <alignment horizontal="center" vertical="center"/>
    </xf>
    <xf numFmtId="14" fontId="21" fillId="13" borderId="6" xfId="0" applyNumberFormat="1" applyFont="1" applyFill="1" applyBorder="1" applyAlignment="1" applyProtection="1">
      <alignment horizontal="center" vertical="center"/>
      <protection locked="0"/>
    </xf>
    <xf numFmtId="167" fontId="16" fillId="13" borderId="6" xfId="0" applyNumberFormat="1" applyFont="1" applyFill="1" applyBorder="1" applyAlignment="1" applyProtection="1">
      <alignment horizontal="center" vertical="center"/>
      <protection locked="0"/>
    </xf>
    <xf numFmtId="174" fontId="16" fillId="13" borderId="6" xfId="0" applyNumberFormat="1" applyFont="1" applyFill="1" applyBorder="1" applyAlignment="1" applyProtection="1">
      <alignment horizontal="center" vertical="center"/>
      <protection locked="0"/>
    </xf>
    <xf numFmtId="174" fontId="16" fillId="14" borderId="6" xfId="0" applyNumberFormat="1" applyFont="1" applyFill="1" applyBorder="1" applyAlignment="1" applyProtection="1">
      <alignment horizontal="center" vertical="center"/>
      <protection locked="0"/>
    </xf>
    <xf numFmtId="171" fontId="16" fillId="14" borderId="6" xfId="0" applyNumberFormat="1" applyFont="1" applyFill="1" applyBorder="1" applyAlignment="1" applyProtection="1">
      <alignment horizontal="center" vertical="center"/>
      <protection locked="0"/>
    </xf>
    <xf numFmtId="14" fontId="16" fillId="13" borderId="6" xfId="0" applyNumberFormat="1" applyFont="1" applyFill="1" applyBorder="1" applyAlignment="1" applyProtection="1">
      <alignment horizontal="center" vertical="center"/>
      <protection locked="0"/>
    </xf>
    <xf numFmtId="168" fontId="16" fillId="13" borderId="6" xfId="1" applyNumberFormat="1" applyFont="1" applyFill="1" applyBorder="1" applyAlignment="1" applyProtection="1">
      <alignment horizontal="center" vertical="center"/>
    </xf>
    <xf numFmtId="172" fontId="16" fillId="13" borderId="6" xfId="1" applyNumberFormat="1" applyFont="1" applyFill="1" applyBorder="1" applyAlignment="1" applyProtection="1">
      <alignment horizontal="center" vertical="center"/>
    </xf>
    <xf numFmtId="0" fontId="16" fillId="13" borderId="6" xfId="0" applyFont="1" applyFill="1" applyBorder="1" applyAlignment="1" applyProtection="1">
      <alignment horizontal="center" vertical="center"/>
      <protection locked="0"/>
    </xf>
    <xf numFmtId="173" fontId="16" fillId="13" borderId="7" xfId="2" applyNumberFormat="1" applyFont="1" applyFill="1" applyBorder="1" applyAlignment="1" applyProtection="1">
      <alignment horizontal="center" vertical="center"/>
    </xf>
    <xf numFmtId="173" fontId="16" fillId="14" borderId="0" xfId="2" applyNumberFormat="1" applyFont="1" applyFill="1" applyBorder="1" applyAlignment="1" applyProtection="1">
      <alignment horizontal="center" vertical="center"/>
    </xf>
    <xf numFmtId="0" fontId="20" fillId="15" borderId="3" xfId="0" applyFont="1" applyFill="1" applyBorder="1" applyAlignment="1">
      <alignment horizontal="center" vertical="center" wrapText="1"/>
    </xf>
    <xf numFmtId="0" fontId="21" fillId="13" borderId="5" xfId="0" applyFont="1" applyFill="1" applyBorder="1" applyAlignment="1">
      <alignment horizontal="center" vertical="center"/>
    </xf>
    <xf numFmtId="175" fontId="21" fillId="13" borderId="13" xfId="0" applyNumberFormat="1" applyFont="1" applyFill="1" applyBorder="1" applyAlignment="1">
      <alignment horizontal="center" vertical="center"/>
    </xf>
    <xf numFmtId="0" fontId="22" fillId="13" borderId="6" xfId="0" applyFont="1" applyFill="1" applyBorder="1" applyAlignment="1" applyProtection="1">
      <alignment horizontal="center" vertical="center"/>
      <protection locked="0"/>
    </xf>
    <xf numFmtId="0" fontId="0" fillId="14" borderId="0" xfId="0" applyFill="1" applyAlignment="1">
      <alignment horizontal="center" vertical="center"/>
    </xf>
    <xf numFmtId="9" fontId="23" fillId="14" borderId="2" xfId="2" applyFont="1" applyFill="1" applyBorder="1" applyAlignment="1" applyProtection="1">
      <alignment horizontal="right" vertical="center" indent="4"/>
    </xf>
    <xf numFmtId="0" fontId="1" fillId="0" borderId="0" xfId="0" applyFont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3" fillId="8" borderId="2" xfId="3" applyFont="1" applyFill="1" applyBorder="1" applyAlignment="1" applyProtection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0" xfId="0" applyFont="1" applyAlignment="1" applyProtection="1">
      <alignment horizontal="right" vertical="center"/>
      <protection locked="0"/>
    </xf>
    <xf numFmtId="0" fontId="13" fillId="0" borderId="1" xfId="0" applyFont="1" applyBorder="1" applyAlignment="1" applyProtection="1">
      <alignment horizontal="left"/>
      <protection locked="0"/>
    </xf>
  </cellXfs>
  <cellStyles count="8">
    <cellStyle name="Bom" xfId="3" builtinId="26"/>
    <cellStyle name="Ênfase2" xfId="5" builtinId="33"/>
    <cellStyle name="Ênfase5" xfId="6" builtinId="45"/>
    <cellStyle name="Moeda" xfId="7" builtinId="4"/>
    <cellStyle name="Neutro" xfId="4" builtinId="2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9-408B-B07B-114B94840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22-4528-9ABC-A3DA7437ED9D}"/>
              </c:ext>
            </c:extLst>
          </c:dPt>
          <c:dLbls>
            <c:dLbl>
              <c:idx val="0"/>
              <c:layout>
                <c:manualLayout>
                  <c:x val="0.100781253099817"/>
                  <c:y val="1.73567156993885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9-408B-B07B-114B94840CB5}"/>
                </c:ext>
              </c:extLst>
            </c:dLbl>
            <c:dLbl>
              <c:idx val="1"/>
              <c:layout>
                <c:manualLayout>
                  <c:x val="-0.12725581768191371"/>
                  <c:y val="-6.50876838727069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22-4528-9ABC-A3DA7437ED9D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RESUMO!$C$18:$C$19</c:f>
              <c:strCache>
                <c:ptCount val="2"/>
                <c:pt idx="0">
                  <c:v>PINTADO</c:v>
                </c:pt>
                <c:pt idx="1">
                  <c:v>TAMBAQUI</c:v>
                </c:pt>
              </c:strCache>
            </c:strRef>
          </c:cat>
          <c:val>
            <c:numRef>
              <c:f>RESUMO!$D$18:$D$19</c:f>
              <c:numCache>
                <c:formatCode>#,##0\ "Kg"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08B-B07B-114B9484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2-480B-A5E3-828B8D8DE1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2-480B-A5E3-828B8D8DE1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E-46A3-9481-DB6E1817A4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E-46A3-9481-DB6E1817A4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E-46A3-9481-DB6E1817A4C4}"/>
              </c:ext>
            </c:extLst>
          </c:dPt>
          <c:dLbls>
            <c:dLbl>
              <c:idx val="1"/>
              <c:layout>
                <c:manualLayout>
                  <c:x val="9.2739176542696686E-2"/>
                  <c:y val="-5.47845079419418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C2-480B-A5E3-828B8D8DE1C9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RESUMO!$C$22:$C$26</c:f>
              <c:strCache>
                <c:ptCount val="5"/>
                <c:pt idx="0">
                  <c:v>BARR 1</c:v>
                </c:pt>
                <c:pt idx="1">
                  <c:v>BARR 2</c:v>
                </c:pt>
                <c:pt idx="2">
                  <c:v>BARR 3</c:v>
                </c:pt>
                <c:pt idx="3">
                  <c:v>TRES PINHEIROS</c:v>
                </c:pt>
                <c:pt idx="4">
                  <c:v>RACEWAY</c:v>
                </c:pt>
              </c:strCache>
            </c:strRef>
          </c:cat>
          <c:val>
            <c:numRef>
              <c:f>RESUMO!$D$22:$D$26</c:f>
              <c:numCache>
                <c:formatCode>#,##0\ "Kg"</c:formatCode>
                <c:ptCount val="5"/>
                <c:pt idx="0">
                  <c:v>89694.351999999999</c:v>
                </c:pt>
                <c:pt idx="1">
                  <c:v>0</c:v>
                </c:pt>
                <c:pt idx="2">
                  <c:v>0</c:v>
                </c:pt>
                <c:pt idx="3">
                  <c:v>50702.86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2-480B-A5E3-828B8D8D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468284-A24A-4D0D-89DF-DAB3ED20D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7589" y="159608"/>
          <a:ext cx="1421643" cy="658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78B9A81-ABCA-4D0F-96EF-D68ECF6C4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0568" y="159608"/>
          <a:ext cx="1432529" cy="6615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596635</xdr:colOff>
      <xdr:row>15</xdr:row>
      <xdr:rowOff>90222</xdr:rowOff>
    </xdr:from>
    <xdr:to>
      <xdr:col>11</xdr:col>
      <xdr:colOff>818884</xdr:colOff>
      <xdr:row>37</xdr:row>
      <xdr:rowOff>123031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440F44-432D-4C55-A48F-43EEF7B9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735543</xdr:colOff>
      <xdr:row>1</xdr:row>
      <xdr:rowOff>127000</xdr:rowOff>
    </xdr:from>
    <xdr:to>
      <xdr:col>11</xdr:col>
      <xdr:colOff>804333</xdr:colOff>
      <xdr:row>3</xdr:row>
      <xdr:rowOff>257981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C2EFAFA-E2C7-4F9D-B825-BDF3E510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8918" y="388938"/>
          <a:ext cx="1426103" cy="654856"/>
        </a:xfrm>
        <a:prstGeom prst="rect">
          <a:avLst/>
        </a:prstGeom>
      </xdr:spPr>
    </xdr:pic>
    <xdr:clientData/>
  </xdr:twoCellAnchor>
  <xdr:twoCellAnchor>
    <xdr:from>
      <xdr:col>1</xdr:col>
      <xdr:colOff>595312</xdr:colOff>
      <xdr:row>38</xdr:row>
      <xdr:rowOff>47624</xdr:rowOff>
    </xdr:from>
    <xdr:to>
      <xdr:col>11</xdr:col>
      <xdr:colOff>817561</xdr:colOff>
      <xdr:row>60</xdr:row>
      <xdr:rowOff>80433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7F694E-5E62-4669-8F45-059B331D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5"/>
  <sheetViews>
    <sheetView showGridLines="0" tabSelected="1" topLeftCell="A21" zoomScale="40" zoomScaleNormal="40" zoomScaleSheetLayoutView="17" workbookViewId="0">
      <selection activeCell="J42" sqref="J42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22" style="1" bestFit="1" customWidth="1"/>
    <col min="5" max="5" width="27.140625" style="1" customWidth="1"/>
    <col min="6" max="6" width="34.140625" style="1" customWidth="1"/>
    <col min="7" max="7" width="25.85546875" style="1" bestFit="1" customWidth="1"/>
    <col min="8" max="8" width="31.28515625" style="1" customWidth="1"/>
    <col min="9" max="9" width="25.85546875" style="1" bestFit="1" customWidth="1"/>
    <col min="10" max="10" width="30.5703125" style="1" customWidth="1"/>
    <col min="11" max="11" width="34" style="1" bestFit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27.75" customHeight="1" x14ac:dyDescent="0.25"/>
    <row r="5" spans="2:24" ht="28.5" customHeight="1" x14ac:dyDescent="0.25">
      <c r="B5" s="144" t="s">
        <v>91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</row>
    <row r="6" spans="2:24" ht="27" hidden="1" customHeight="1" x14ac:dyDescent="0.25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</row>
    <row r="7" spans="2:24" ht="45" customHeight="1" x14ac:dyDescent="0.25">
      <c r="H7" s="135"/>
    </row>
    <row r="8" spans="2:24" ht="45" customHeight="1" x14ac:dyDescent="0.25">
      <c r="B8" s="145" t="s">
        <v>65</v>
      </c>
      <c r="C8" s="145"/>
      <c r="D8" s="145"/>
      <c r="E8" s="145"/>
      <c r="F8" s="96">
        <f>SUMIF($D$16:$D$24,"TILAPIA",$T$16:$T$24)</f>
        <v>108855.72</v>
      </c>
      <c r="G8" s="97">
        <f>SUMIF($D$14:$D$27,"TILAPIA",$N14:$N27)</f>
        <v>260930</v>
      </c>
      <c r="H8" s="136"/>
      <c r="I8" s="34"/>
      <c r="J8" s="117">
        <v>8</v>
      </c>
      <c r="K8" s="118">
        <f>+J8*F8</f>
        <v>870845.76</v>
      </c>
      <c r="L8" s="32"/>
      <c r="M8" s="32"/>
    </row>
    <row r="9" spans="2:24" ht="33.75" customHeight="1" x14ac:dyDescent="0.25">
      <c r="B9" s="99"/>
      <c r="C9" s="99"/>
      <c r="D9" s="99"/>
      <c r="E9" s="99"/>
      <c r="I9" s="35"/>
      <c r="K9" s="33"/>
      <c r="L9" s="33"/>
      <c r="M9" s="33"/>
      <c r="U9" s="140" t="s">
        <v>92</v>
      </c>
      <c r="V9" s="140"/>
    </row>
    <row r="10" spans="2:24" ht="15" hidden="1" x14ac:dyDescent="0.25"/>
    <row r="11" spans="2:24" ht="15" hidden="1" x14ac:dyDescent="0.25"/>
    <row r="12" spans="2:24" ht="51.75" customHeight="1" thickBot="1" x14ac:dyDescent="0.3">
      <c r="E12" s="146" t="s">
        <v>17</v>
      </c>
      <c r="F12" s="146"/>
      <c r="G12" s="146"/>
      <c r="H12" s="146"/>
      <c r="I12" s="146"/>
    </row>
    <row r="13" spans="2:24" s="3" customFormat="1" ht="92.25" customHeight="1" thickBot="1" x14ac:dyDescent="0.3">
      <c r="B13" s="103" t="s">
        <v>0</v>
      </c>
      <c r="C13" s="104" t="s">
        <v>46</v>
      </c>
      <c r="D13" s="105" t="s">
        <v>1</v>
      </c>
      <c r="E13" s="106" t="s">
        <v>17</v>
      </c>
      <c r="F13" s="106" t="s">
        <v>18</v>
      </c>
      <c r="G13" s="107" t="s">
        <v>45</v>
      </c>
      <c r="H13" s="107" t="s">
        <v>53</v>
      </c>
      <c r="I13" s="107" t="s">
        <v>54</v>
      </c>
      <c r="J13" s="108" t="s">
        <v>39</v>
      </c>
      <c r="K13" s="108" t="s">
        <v>55</v>
      </c>
      <c r="L13" s="109" t="s">
        <v>59</v>
      </c>
      <c r="M13" s="109" t="s">
        <v>61</v>
      </c>
      <c r="N13" s="131" t="s">
        <v>38</v>
      </c>
      <c r="O13" s="108" t="s">
        <v>2</v>
      </c>
      <c r="P13" s="131" t="s">
        <v>3</v>
      </c>
      <c r="Q13" s="108" t="s">
        <v>41</v>
      </c>
      <c r="R13" s="108" t="s">
        <v>73</v>
      </c>
      <c r="S13" s="105" t="s">
        <v>56</v>
      </c>
      <c r="T13" s="131" t="s">
        <v>5</v>
      </c>
      <c r="U13" s="105" t="s">
        <v>6</v>
      </c>
      <c r="V13" s="110" t="s">
        <v>7</v>
      </c>
      <c r="W13" s="111"/>
      <c r="X13" s="111"/>
    </row>
    <row r="14" spans="2:24" ht="72" customHeight="1" thickBot="1" x14ac:dyDescent="0.3">
      <c r="B14" s="132" t="s">
        <v>74</v>
      </c>
      <c r="C14" s="133">
        <v>1.63</v>
      </c>
      <c r="D14" s="134" t="s">
        <v>64</v>
      </c>
      <c r="E14" s="120">
        <v>45408</v>
      </c>
      <c r="F14" s="121">
        <v>173</v>
      </c>
      <c r="G14" s="122">
        <v>17180</v>
      </c>
      <c r="H14" s="123">
        <v>0</v>
      </c>
      <c r="I14" s="123">
        <v>0</v>
      </c>
      <c r="J14" s="122">
        <v>17180</v>
      </c>
      <c r="K14" s="123">
        <v>0</v>
      </c>
      <c r="L14" s="123">
        <v>0</v>
      </c>
      <c r="M14" s="122" t="s">
        <v>60</v>
      </c>
      <c r="N14" s="122">
        <v>17180</v>
      </c>
      <c r="O14" s="124">
        <v>836</v>
      </c>
      <c r="P14" s="124">
        <v>908</v>
      </c>
      <c r="Q14" s="125">
        <v>45559</v>
      </c>
      <c r="R14" s="126">
        <f t="shared" ref="R14" si="0">J14*O14/1000</f>
        <v>14362.48</v>
      </c>
      <c r="S14" s="127">
        <f>T14-R14</f>
        <v>1236.9600000000009</v>
      </c>
      <c r="T14" s="126">
        <f t="shared" ref="T14" si="1">N14*P14/1000</f>
        <v>15599.44</v>
      </c>
      <c r="U14" s="128" t="s">
        <v>90</v>
      </c>
      <c r="V14" s="129">
        <f t="shared" ref="V14:V15" si="2">IFERROR((P14-O14)/O14,"")</f>
        <v>8.6124401913875603E-2</v>
      </c>
      <c r="W14" s="130"/>
      <c r="X14" s="113"/>
    </row>
    <row r="15" spans="2:24" ht="72" customHeight="1" thickBot="1" x14ac:dyDescent="0.3">
      <c r="B15" s="132" t="s">
        <v>75</v>
      </c>
      <c r="C15" s="133">
        <v>2.02</v>
      </c>
      <c r="D15" s="134" t="s">
        <v>64</v>
      </c>
      <c r="E15" s="120">
        <v>45419</v>
      </c>
      <c r="F15" s="121">
        <v>100</v>
      </c>
      <c r="G15" s="122">
        <v>21600</v>
      </c>
      <c r="H15" s="123">
        <v>0</v>
      </c>
      <c r="I15" s="123">
        <v>0</v>
      </c>
      <c r="J15" s="122">
        <v>21600</v>
      </c>
      <c r="K15" s="123">
        <v>0</v>
      </c>
      <c r="L15" s="123">
        <v>0</v>
      </c>
      <c r="M15" s="122" t="s">
        <v>60</v>
      </c>
      <c r="N15" s="122">
        <v>21600</v>
      </c>
      <c r="O15" s="124">
        <v>552</v>
      </c>
      <c r="P15" s="124">
        <v>787</v>
      </c>
      <c r="Q15" s="125">
        <v>45559</v>
      </c>
      <c r="R15" s="126">
        <f t="shared" ref="R15" si="3">J15*O15/1000</f>
        <v>11923.2</v>
      </c>
      <c r="S15" s="127">
        <f>T15-R15</f>
        <v>5076</v>
      </c>
      <c r="T15" s="126">
        <f t="shared" ref="T15:T17" si="4">N15*P15/1000</f>
        <v>16999.2</v>
      </c>
      <c r="U15" s="128" t="s">
        <v>90</v>
      </c>
      <c r="V15" s="129">
        <f t="shared" si="2"/>
        <v>0.42572463768115942</v>
      </c>
      <c r="W15" s="130"/>
      <c r="X15" s="113"/>
    </row>
    <row r="16" spans="2:24" ht="72" customHeight="1" thickBot="1" x14ac:dyDescent="0.3">
      <c r="B16" s="132" t="s">
        <v>76</v>
      </c>
      <c r="C16" s="133">
        <v>2.2000000000000002</v>
      </c>
      <c r="D16" s="134" t="s">
        <v>64</v>
      </c>
      <c r="E16" s="120">
        <v>45409</v>
      </c>
      <c r="F16" s="121">
        <v>170</v>
      </c>
      <c r="G16" s="122">
        <v>22300</v>
      </c>
      <c r="H16" s="123">
        <v>0</v>
      </c>
      <c r="I16" s="123">
        <v>0</v>
      </c>
      <c r="J16" s="122">
        <v>22300</v>
      </c>
      <c r="K16" s="123">
        <v>0</v>
      </c>
      <c r="L16" s="123">
        <v>0</v>
      </c>
      <c r="M16" s="122" t="s">
        <v>60</v>
      </c>
      <c r="N16" s="122">
        <v>22300</v>
      </c>
      <c r="O16" s="124">
        <v>696</v>
      </c>
      <c r="P16" s="124">
        <v>782</v>
      </c>
      <c r="Q16" s="125">
        <v>45559</v>
      </c>
      <c r="R16" s="126">
        <f>J16*O16/1000</f>
        <v>15520.8</v>
      </c>
      <c r="S16" s="127">
        <f t="shared" ref="S16:S17" si="5">T16-R16</f>
        <v>1917.7999999999993</v>
      </c>
      <c r="T16" s="126">
        <f t="shared" si="4"/>
        <v>17438.599999999999</v>
      </c>
      <c r="U16" s="128" t="s">
        <v>90</v>
      </c>
      <c r="V16" s="129">
        <f>IFERROR((P16-O16)/O16,"")</f>
        <v>0.1235632183908046</v>
      </c>
      <c r="W16" s="130"/>
      <c r="X16" s="113"/>
    </row>
    <row r="17" spans="2:24" ht="72" customHeight="1" thickBot="1" x14ac:dyDescent="0.3">
      <c r="B17" s="132" t="s">
        <v>77</v>
      </c>
      <c r="C17" s="133">
        <v>2.2999999999999998</v>
      </c>
      <c r="D17" s="134" t="s">
        <v>64</v>
      </c>
      <c r="E17" s="120">
        <v>45418</v>
      </c>
      <c r="F17" s="121">
        <v>169</v>
      </c>
      <c r="G17" s="122">
        <v>22860</v>
      </c>
      <c r="H17" s="123">
        <v>0</v>
      </c>
      <c r="I17" s="123">
        <v>0</v>
      </c>
      <c r="J17" s="122">
        <v>22860</v>
      </c>
      <c r="K17" s="123">
        <v>0</v>
      </c>
      <c r="L17" s="123">
        <v>0</v>
      </c>
      <c r="M17" s="122" t="s">
        <v>60</v>
      </c>
      <c r="N17" s="122">
        <v>22860</v>
      </c>
      <c r="O17" s="124">
        <v>731</v>
      </c>
      <c r="P17" s="124">
        <v>889</v>
      </c>
      <c r="Q17" s="125">
        <v>45559</v>
      </c>
      <c r="R17" s="126">
        <f>J17*O17/1000</f>
        <v>16710.66</v>
      </c>
      <c r="S17" s="127">
        <f t="shared" si="5"/>
        <v>3611.880000000001</v>
      </c>
      <c r="T17" s="126">
        <f t="shared" si="4"/>
        <v>20322.54</v>
      </c>
      <c r="U17" s="128" t="s">
        <v>90</v>
      </c>
      <c r="V17" s="129">
        <f>IFERROR((P17-O17)/O17,"")</f>
        <v>0.2161422708618331</v>
      </c>
      <c r="W17" s="130"/>
      <c r="X17" s="113"/>
    </row>
    <row r="18" spans="2:24" ht="75.75" customHeight="1" thickBot="1" x14ac:dyDescent="0.3">
      <c r="B18" s="132" t="s">
        <v>78</v>
      </c>
      <c r="C18" s="133">
        <v>2.2200000000000002</v>
      </c>
      <c r="D18" s="134" t="s">
        <v>64</v>
      </c>
      <c r="E18" s="120">
        <v>45413</v>
      </c>
      <c r="F18" s="121">
        <v>165</v>
      </c>
      <c r="G18" s="122">
        <v>22040</v>
      </c>
      <c r="H18" s="123">
        <v>0</v>
      </c>
      <c r="I18" s="123">
        <v>50</v>
      </c>
      <c r="J18" s="122">
        <v>22040</v>
      </c>
      <c r="K18" s="123">
        <v>0</v>
      </c>
      <c r="L18" s="123">
        <v>0</v>
      </c>
      <c r="M18" s="122" t="s">
        <v>60</v>
      </c>
      <c r="N18" s="122">
        <v>21990</v>
      </c>
      <c r="O18" s="124">
        <v>640</v>
      </c>
      <c r="P18" s="124">
        <v>842</v>
      </c>
      <c r="Q18" s="125">
        <v>45559</v>
      </c>
      <c r="R18" s="126">
        <f t="shared" ref="R18" si="6">J18*O18/1000</f>
        <v>14105.6</v>
      </c>
      <c r="S18" s="127">
        <f>T18-R18</f>
        <v>4409.9800000000014</v>
      </c>
      <c r="T18" s="126">
        <f t="shared" ref="T18" si="7">N18*P18/1000</f>
        <v>18515.580000000002</v>
      </c>
      <c r="U18" s="128" t="s">
        <v>90</v>
      </c>
      <c r="V18" s="129">
        <f t="shared" ref="V18:V27" si="8">IFERROR((P18-O18)/O18,"")</f>
        <v>0.31562499999999999</v>
      </c>
      <c r="W18" s="130"/>
      <c r="X18" s="113"/>
    </row>
    <row r="19" spans="2:24" ht="72" customHeight="1" thickBot="1" x14ac:dyDescent="0.3">
      <c r="B19" s="132" t="s">
        <v>79</v>
      </c>
      <c r="C19" s="133">
        <v>2.0499999999999998</v>
      </c>
      <c r="D19" s="134" t="s">
        <v>64</v>
      </c>
      <c r="E19" s="120">
        <v>45425</v>
      </c>
      <c r="F19" s="121">
        <v>177</v>
      </c>
      <c r="G19" s="122">
        <v>20000</v>
      </c>
      <c r="H19" s="123">
        <v>0</v>
      </c>
      <c r="I19" s="123">
        <v>0</v>
      </c>
      <c r="J19" s="122">
        <v>20000</v>
      </c>
      <c r="K19" s="123">
        <v>0</v>
      </c>
      <c r="L19" s="123">
        <v>0</v>
      </c>
      <c r="M19" s="122" t="s">
        <v>60</v>
      </c>
      <c r="N19" s="122">
        <v>20000</v>
      </c>
      <c r="O19" s="124">
        <v>563</v>
      </c>
      <c r="P19" s="124">
        <v>785</v>
      </c>
      <c r="Q19" s="125">
        <v>45559</v>
      </c>
      <c r="R19" s="126">
        <f t="shared" ref="R19" si="9">J19*O19/1000</f>
        <v>11260</v>
      </c>
      <c r="S19" s="127">
        <f>T19-R19</f>
        <v>4440</v>
      </c>
      <c r="T19" s="126">
        <f t="shared" ref="T19:T26" si="10">N19*P19/1000</f>
        <v>15700</v>
      </c>
      <c r="U19" s="128" t="s">
        <v>90</v>
      </c>
      <c r="V19" s="129">
        <f t="shared" si="8"/>
        <v>0.39431616341030196</v>
      </c>
      <c r="W19" s="130"/>
      <c r="X19" s="113"/>
    </row>
    <row r="20" spans="2:24" ht="72" customHeight="1" thickBot="1" x14ac:dyDescent="0.3">
      <c r="B20" s="132" t="s">
        <v>80</v>
      </c>
      <c r="C20" s="133">
        <v>1.95</v>
      </c>
      <c r="D20" s="134" t="s">
        <v>64</v>
      </c>
      <c r="E20" s="120">
        <v>45446</v>
      </c>
      <c r="F20" s="121">
        <v>150</v>
      </c>
      <c r="G20" s="122">
        <v>21000</v>
      </c>
      <c r="H20" s="123">
        <v>0</v>
      </c>
      <c r="I20" s="123">
        <v>0</v>
      </c>
      <c r="J20" s="122">
        <v>21000</v>
      </c>
      <c r="K20" s="123">
        <v>0</v>
      </c>
      <c r="L20" s="123">
        <v>0</v>
      </c>
      <c r="M20" s="122" t="s">
        <v>60</v>
      </c>
      <c r="N20" s="122">
        <v>21000</v>
      </c>
      <c r="O20" s="124">
        <v>453</v>
      </c>
      <c r="P20" s="124">
        <v>614</v>
      </c>
      <c r="Q20" s="125">
        <v>45561</v>
      </c>
      <c r="R20" s="126">
        <f>J20*O20/1000</f>
        <v>9513</v>
      </c>
      <c r="S20" s="127">
        <f>T20-R20</f>
        <v>3381</v>
      </c>
      <c r="T20" s="126">
        <f t="shared" si="10"/>
        <v>12894</v>
      </c>
      <c r="U20" s="128" t="s">
        <v>90</v>
      </c>
      <c r="V20" s="129">
        <f t="shared" si="8"/>
        <v>0.35540838852097129</v>
      </c>
      <c r="W20" s="130"/>
      <c r="X20" s="113"/>
    </row>
    <row r="21" spans="2:24" ht="72" customHeight="1" thickBot="1" x14ac:dyDescent="0.3">
      <c r="B21" s="132" t="s">
        <v>81</v>
      </c>
      <c r="C21" s="133">
        <v>1.94</v>
      </c>
      <c r="D21" s="134" t="s">
        <v>64</v>
      </c>
      <c r="E21" s="120">
        <v>45450</v>
      </c>
      <c r="F21" s="121">
        <v>150</v>
      </c>
      <c r="G21" s="122">
        <v>20500</v>
      </c>
      <c r="H21" s="123">
        <v>0</v>
      </c>
      <c r="I21" s="123">
        <v>0</v>
      </c>
      <c r="J21" s="122">
        <v>20500</v>
      </c>
      <c r="K21" s="123">
        <v>0</v>
      </c>
      <c r="L21" s="123">
        <v>0</v>
      </c>
      <c r="M21" s="122" t="s">
        <v>60</v>
      </c>
      <c r="N21" s="122">
        <v>26500</v>
      </c>
      <c r="O21" s="124">
        <v>340</v>
      </c>
      <c r="P21" s="124">
        <v>388</v>
      </c>
      <c r="Q21" s="125">
        <v>45561</v>
      </c>
      <c r="R21" s="126">
        <f t="shared" ref="R21:R26" si="11">J21*O21/1000</f>
        <v>6970</v>
      </c>
      <c r="S21" s="127">
        <f t="shared" ref="S21:S26" si="12">T21-R21</f>
        <v>3312</v>
      </c>
      <c r="T21" s="126">
        <f t="shared" si="10"/>
        <v>10282</v>
      </c>
      <c r="U21" s="128" t="s">
        <v>90</v>
      </c>
      <c r="V21" s="129">
        <f t="shared" si="8"/>
        <v>0.14117647058823529</v>
      </c>
      <c r="W21" s="130"/>
      <c r="X21" s="113"/>
    </row>
    <row r="22" spans="2:24" ht="72" customHeight="1" thickBot="1" x14ac:dyDescent="0.3">
      <c r="B22" s="132" t="s">
        <v>82</v>
      </c>
      <c r="C22" s="133">
        <v>1.97</v>
      </c>
      <c r="D22" s="134" t="s">
        <v>64</v>
      </c>
      <c r="E22" s="120">
        <v>45463</v>
      </c>
      <c r="F22" s="121">
        <v>85</v>
      </c>
      <c r="G22" s="122">
        <v>21000</v>
      </c>
      <c r="H22" s="123">
        <v>0</v>
      </c>
      <c r="I22" s="123">
        <v>0</v>
      </c>
      <c r="J22" s="122">
        <v>21000</v>
      </c>
      <c r="K22" s="123">
        <v>0</v>
      </c>
      <c r="L22" s="123">
        <v>0</v>
      </c>
      <c r="M22" s="122" t="s">
        <v>60</v>
      </c>
      <c r="N22" s="122">
        <v>21000</v>
      </c>
      <c r="O22" s="121">
        <v>272</v>
      </c>
      <c r="P22" s="121">
        <v>323</v>
      </c>
      <c r="Q22" s="125">
        <v>45561</v>
      </c>
      <c r="R22" s="126">
        <f t="shared" si="11"/>
        <v>5712</v>
      </c>
      <c r="S22" s="127">
        <f>T22-R22</f>
        <v>1071</v>
      </c>
      <c r="T22" s="126">
        <f t="shared" si="10"/>
        <v>6783</v>
      </c>
      <c r="U22" s="128" t="s">
        <v>90</v>
      </c>
      <c r="V22" s="129">
        <f t="shared" si="8"/>
        <v>0.1875</v>
      </c>
      <c r="W22" s="130"/>
      <c r="X22" s="113"/>
    </row>
    <row r="23" spans="2:24" ht="72" customHeight="1" thickBot="1" x14ac:dyDescent="0.3">
      <c r="B23" s="45" t="s">
        <v>83</v>
      </c>
      <c r="C23" s="46">
        <v>1.8</v>
      </c>
      <c r="D23" s="47"/>
      <c r="E23" s="48"/>
      <c r="F23" s="71"/>
      <c r="G23" s="72"/>
      <c r="H23" s="72"/>
      <c r="I23" s="72"/>
      <c r="J23" s="72"/>
      <c r="K23" s="72"/>
      <c r="L23" s="72"/>
      <c r="M23" s="122"/>
      <c r="N23" s="72"/>
      <c r="O23" s="71"/>
      <c r="P23" s="71"/>
      <c r="Q23" s="74"/>
      <c r="R23" s="75"/>
      <c r="S23" s="76"/>
      <c r="T23" s="75"/>
      <c r="U23" s="128"/>
      <c r="V23" s="78" t="str">
        <f t="shared" si="8"/>
        <v/>
      </c>
      <c r="W23" s="113"/>
      <c r="X23" s="113"/>
    </row>
    <row r="24" spans="2:24" ht="72" customHeight="1" thickBot="1" x14ac:dyDescent="0.3">
      <c r="B24" s="132" t="s">
        <v>84</v>
      </c>
      <c r="C24" s="133">
        <v>1.95</v>
      </c>
      <c r="D24" s="134" t="s">
        <v>64</v>
      </c>
      <c r="E24" s="120">
        <v>45467</v>
      </c>
      <c r="F24" s="121">
        <v>65</v>
      </c>
      <c r="G24" s="122">
        <v>20000</v>
      </c>
      <c r="H24" s="123" t="s">
        <v>88</v>
      </c>
      <c r="I24" s="123" t="s">
        <v>89</v>
      </c>
      <c r="J24" s="122">
        <v>20000</v>
      </c>
      <c r="K24" s="123" t="s">
        <v>89</v>
      </c>
      <c r="L24" s="123" t="s">
        <v>89</v>
      </c>
      <c r="M24" s="122" t="s">
        <v>60</v>
      </c>
      <c r="N24" s="122">
        <v>20000</v>
      </c>
      <c r="O24" s="121">
        <v>223</v>
      </c>
      <c r="P24" s="121">
        <v>346</v>
      </c>
      <c r="Q24" s="125">
        <v>45561</v>
      </c>
      <c r="R24" s="126">
        <f t="shared" si="11"/>
        <v>4460</v>
      </c>
      <c r="S24" s="127">
        <f t="shared" si="12"/>
        <v>2460</v>
      </c>
      <c r="T24" s="126">
        <f t="shared" si="10"/>
        <v>6920</v>
      </c>
      <c r="U24" s="128" t="s">
        <v>90</v>
      </c>
      <c r="V24" s="129">
        <f t="shared" si="8"/>
        <v>0.55156950672645744</v>
      </c>
      <c r="W24" s="130"/>
      <c r="X24" s="113"/>
    </row>
    <row r="25" spans="2:24" ht="72" customHeight="1" thickBot="1" x14ac:dyDescent="0.3">
      <c r="B25" s="132" t="s">
        <v>85</v>
      </c>
      <c r="C25" s="133">
        <v>1.85</v>
      </c>
      <c r="D25" s="134" t="s">
        <v>64</v>
      </c>
      <c r="E25" s="120">
        <v>45469</v>
      </c>
      <c r="F25" s="121">
        <v>65</v>
      </c>
      <c r="G25" s="122">
        <v>9026</v>
      </c>
      <c r="H25" s="123">
        <v>0</v>
      </c>
      <c r="I25" s="123">
        <v>0</v>
      </c>
      <c r="J25" s="122">
        <v>20500</v>
      </c>
      <c r="K25" s="123">
        <v>0</v>
      </c>
      <c r="L25" s="123">
        <v>0</v>
      </c>
      <c r="M25" s="122" t="s">
        <v>60</v>
      </c>
      <c r="N25" s="122">
        <v>25500</v>
      </c>
      <c r="O25" s="121">
        <v>215</v>
      </c>
      <c r="P25" s="121">
        <v>220</v>
      </c>
      <c r="Q25" s="125">
        <v>45561</v>
      </c>
      <c r="R25" s="126">
        <f t="shared" si="11"/>
        <v>4407.5</v>
      </c>
      <c r="S25" s="127">
        <f t="shared" si="12"/>
        <v>1202.5</v>
      </c>
      <c r="T25" s="126">
        <f t="shared" si="10"/>
        <v>5610</v>
      </c>
      <c r="U25" s="128" t="s">
        <v>90</v>
      </c>
      <c r="V25" s="129">
        <f t="shared" si="8"/>
        <v>2.3255813953488372E-2</v>
      </c>
      <c r="W25" s="130"/>
      <c r="X25" s="113"/>
    </row>
    <row r="26" spans="2:24" ht="72" customHeight="1" thickBot="1" x14ac:dyDescent="0.3">
      <c r="B26" s="132" t="s">
        <v>86</v>
      </c>
      <c r="C26" s="133">
        <v>1.87</v>
      </c>
      <c r="D26" s="134" t="s">
        <v>64</v>
      </c>
      <c r="E26" s="120">
        <v>45483</v>
      </c>
      <c r="F26" s="121">
        <v>120</v>
      </c>
      <c r="G26" s="122">
        <v>21000</v>
      </c>
      <c r="H26" s="123">
        <v>0</v>
      </c>
      <c r="I26" s="123">
        <v>0</v>
      </c>
      <c r="J26" s="122">
        <v>21000</v>
      </c>
      <c r="K26" s="123">
        <v>0</v>
      </c>
      <c r="L26" s="123">
        <v>0</v>
      </c>
      <c r="M26" s="122" t="s">
        <v>60</v>
      </c>
      <c r="N26" s="122">
        <v>21000</v>
      </c>
      <c r="O26" s="124">
        <v>249</v>
      </c>
      <c r="P26" s="124">
        <v>283</v>
      </c>
      <c r="Q26" s="125">
        <v>45561</v>
      </c>
      <c r="R26" s="126">
        <f t="shared" si="11"/>
        <v>5229</v>
      </c>
      <c r="S26" s="127">
        <f t="shared" si="12"/>
        <v>714</v>
      </c>
      <c r="T26" s="126">
        <f t="shared" si="10"/>
        <v>5943</v>
      </c>
      <c r="U26" s="128" t="s">
        <v>90</v>
      </c>
      <c r="V26" s="129">
        <f t="shared" si="8"/>
        <v>0.13654618473895583</v>
      </c>
      <c r="W26" s="130"/>
      <c r="X26" s="113"/>
    </row>
    <row r="27" spans="2:24" ht="72" customHeight="1" thickBot="1" x14ac:dyDescent="0.3">
      <c r="B27" s="132" t="s">
        <v>87</v>
      </c>
      <c r="C27" s="133">
        <v>1.6</v>
      </c>
      <c r="D27" s="134"/>
      <c r="E27" s="120"/>
      <c r="F27" s="121"/>
      <c r="G27" s="122"/>
      <c r="H27" s="123"/>
      <c r="I27" s="123"/>
      <c r="J27" s="122"/>
      <c r="K27" s="123"/>
      <c r="L27" s="123"/>
      <c r="M27" s="122"/>
      <c r="N27" s="122"/>
      <c r="O27" s="121"/>
      <c r="P27" s="121"/>
      <c r="Q27" s="125"/>
      <c r="R27" s="126"/>
      <c r="S27" s="127"/>
      <c r="T27" s="126"/>
      <c r="U27" s="128"/>
      <c r="V27" s="129" t="str">
        <f t="shared" si="8"/>
        <v/>
      </c>
      <c r="W27" s="130"/>
      <c r="X27" s="113"/>
    </row>
    <row r="28" spans="2:24" ht="45" customHeight="1" thickBot="1" x14ac:dyDescent="0.3">
      <c r="B28" s="54" t="s">
        <v>44</v>
      </c>
      <c r="C28" s="55">
        <f>SUM(C14:C27)</f>
        <v>27.35</v>
      </c>
      <c r="D28" s="56"/>
      <c r="E28" s="54"/>
      <c r="F28" s="54"/>
      <c r="G28" s="57"/>
      <c r="H28" s="58">
        <f>SUM(H14:H27)</f>
        <v>0</v>
      </c>
      <c r="I28" s="58">
        <f>SUM(I14:I27)</f>
        <v>50</v>
      </c>
      <c r="J28" s="58">
        <f>SUM(J14:J27)</f>
        <v>249980</v>
      </c>
      <c r="K28" s="58">
        <f>SUM(K14:K27)</f>
        <v>0</v>
      </c>
      <c r="L28" s="58"/>
      <c r="M28" s="58"/>
      <c r="N28" s="59">
        <f>SUM(N14:N27)</f>
        <v>260930</v>
      </c>
      <c r="O28" s="57"/>
      <c r="P28" s="57"/>
      <c r="Q28" s="57"/>
      <c r="R28" s="60">
        <f>SUM(R14:R27)</f>
        <v>120174.24</v>
      </c>
      <c r="S28" s="61"/>
      <c r="T28" s="62">
        <f>SUM(T14:T27)</f>
        <v>153007.35999999999</v>
      </c>
      <c r="U28" s="57"/>
      <c r="V28" s="57"/>
      <c r="W28" s="57"/>
      <c r="X28" s="5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141" t="s">
        <v>47</v>
      </c>
      <c r="C34" s="142"/>
      <c r="D34" s="142"/>
      <c r="E34" s="143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20</v>
      </c>
      <c r="C35" s="138" t="s">
        <v>50</v>
      </c>
      <c r="D35" s="138"/>
      <c r="E35" s="138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21</v>
      </c>
      <c r="C36" s="138" t="s">
        <v>50</v>
      </c>
      <c r="D36" s="138"/>
      <c r="E36" s="1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22</v>
      </c>
      <c r="C37" s="138" t="s">
        <v>52</v>
      </c>
      <c r="D37" s="138"/>
      <c r="E37" s="138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23</v>
      </c>
      <c r="C38" s="138" t="s">
        <v>50</v>
      </c>
      <c r="D38" s="138"/>
      <c r="E38" s="138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8" t="s">
        <v>48</v>
      </c>
      <c r="C39" s="138" t="s">
        <v>51</v>
      </c>
      <c r="D39" s="138"/>
      <c r="E39" s="138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18.75" hidden="1" x14ac:dyDescent="0.25">
      <c r="B40" s="39" t="s">
        <v>49</v>
      </c>
      <c r="C40" s="139" t="s">
        <v>52</v>
      </c>
      <c r="D40" s="139"/>
      <c r="E40" s="139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45" customHeight="1" x14ac:dyDescent="0.25">
      <c r="B41" s="40"/>
      <c r="C41" s="137"/>
      <c r="D41" s="137"/>
      <c r="E41" s="13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7"/>
      <c r="W41" s="37"/>
      <c r="X41" s="37"/>
    </row>
    <row r="42" spans="2:24" ht="51" customHeight="1" x14ac:dyDescent="0.25">
      <c r="B42" s="116"/>
      <c r="C42" s="116"/>
      <c r="D42" s="116"/>
      <c r="E42" s="116"/>
      <c r="F42" s="116"/>
      <c r="G42" s="116"/>
    </row>
    <row r="45" spans="2:24" ht="51" customHeight="1" x14ac:dyDescent="0.25">
      <c r="L45" s="119"/>
    </row>
  </sheetData>
  <mergeCells count="12">
    <mergeCell ref="U9:V9"/>
    <mergeCell ref="B34:E34"/>
    <mergeCell ref="B5:T6"/>
    <mergeCell ref="B8:E8"/>
    <mergeCell ref="E12:I12"/>
    <mergeCell ref="C41:E41"/>
    <mergeCell ref="C35:E35"/>
    <mergeCell ref="C36:E36"/>
    <mergeCell ref="C37:E37"/>
    <mergeCell ref="C38:E38"/>
    <mergeCell ref="C39:E39"/>
    <mergeCell ref="C40:E40"/>
  </mergeCells>
  <phoneticPr fontId="9" type="noConversion"/>
  <conditionalFormatting sqref="P13:Q13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E15"/>
  <sheetViews>
    <sheetView workbookViewId="0">
      <selection activeCell="D15" sqref="D15"/>
    </sheetView>
  </sheetViews>
  <sheetFormatPr defaultRowHeight="15" x14ac:dyDescent="0.25"/>
  <sheetData>
    <row r="4" spans="3:5" x14ac:dyDescent="0.25">
      <c r="C4">
        <v>31025</v>
      </c>
      <c r="D4">
        <v>0.06</v>
      </c>
      <c r="E4">
        <f>C4*D4</f>
        <v>1861.5</v>
      </c>
    </row>
    <row r="5" spans="3:5" x14ac:dyDescent="0.25">
      <c r="C5">
        <v>44639</v>
      </c>
      <c r="D5">
        <v>0.04</v>
      </c>
      <c r="E5">
        <f t="shared" ref="E5:E12" si="0">C5*D5</f>
        <v>1785.56</v>
      </c>
    </row>
    <row r="6" spans="3:5" x14ac:dyDescent="0.25">
      <c r="C6">
        <v>39416</v>
      </c>
      <c r="D6">
        <v>0.05</v>
      </c>
      <c r="E6">
        <f t="shared" si="0"/>
        <v>1970.8000000000002</v>
      </c>
    </row>
    <row r="7" spans="3:5" x14ac:dyDescent="0.25">
      <c r="C7">
        <v>38249</v>
      </c>
      <c r="D7">
        <v>5.1999999999999998E-2</v>
      </c>
      <c r="E7">
        <f t="shared" si="0"/>
        <v>1988.9479999999999</v>
      </c>
    </row>
    <row r="8" spans="3:5" x14ac:dyDescent="0.25">
      <c r="C8">
        <v>16719</v>
      </c>
      <c r="D8">
        <v>0.06</v>
      </c>
      <c r="E8">
        <f t="shared" si="0"/>
        <v>1003.14</v>
      </c>
    </row>
    <row r="9" spans="3:5" x14ac:dyDescent="0.25">
      <c r="C9">
        <v>11817</v>
      </c>
      <c r="D9">
        <v>8.1000000000000003E-2</v>
      </c>
      <c r="E9">
        <f t="shared" si="0"/>
        <v>957.17700000000002</v>
      </c>
    </row>
    <row r="10" spans="3:5" x14ac:dyDescent="0.25">
      <c r="C10">
        <v>24179</v>
      </c>
      <c r="D10">
        <v>9.0999999999999998E-2</v>
      </c>
      <c r="E10">
        <f t="shared" si="0"/>
        <v>2200.2889999999998</v>
      </c>
    </row>
    <row r="11" spans="3:5" x14ac:dyDescent="0.25">
      <c r="C11">
        <v>23766</v>
      </c>
      <c r="D11">
        <v>9.0999999999999998E-2</v>
      </c>
      <c r="E11">
        <f t="shared" si="0"/>
        <v>2162.7060000000001</v>
      </c>
    </row>
    <row r="12" spans="3:5" x14ac:dyDescent="0.25">
      <c r="C12">
        <v>27368</v>
      </c>
      <c r="D12">
        <v>8.1000000000000003E-2</v>
      </c>
      <c r="E12">
        <f t="shared" si="0"/>
        <v>2216.808</v>
      </c>
    </row>
    <row r="13" spans="3:5" x14ac:dyDescent="0.25">
      <c r="C13">
        <f>SUM(C4:C12)</f>
        <v>257178</v>
      </c>
      <c r="E13">
        <f>SUM(E4:E12)</f>
        <v>16146.928</v>
      </c>
    </row>
    <row r="15" spans="3:5" x14ac:dyDescent="0.25">
      <c r="D15">
        <f>E13/C13</f>
        <v>6.2785028268358883E-2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pageSetUpPr fitToPage="1"/>
  </sheetPr>
  <dimension ref="B1:X41"/>
  <sheetViews>
    <sheetView showGridLines="0" topLeftCell="A5" zoomScale="30" zoomScaleNormal="30" zoomScaleSheetLayoutView="30" workbookViewId="0">
      <selection activeCell="U11" sqref="U11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18.85546875" style="1" customWidth="1"/>
    <col min="5" max="5" width="27.140625" style="1" customWidth="1"/>
    <col min="6" max="6" width="29.140625" style="1" bestFit="1" customWidth="1"/>
    <col min="7" max="7" width="25.85546875" style="1" bestFit="1" customWidth="1"/>
    <col min="8" max="8" width="32.85546875" style="1" customWidth="1"/>
    <col min="9" max="9" width="17.85546875" style="1" customWidth="1"/>
    <col min="10" max="10" width="30.5703125" style="1" customWidth="1"/>
    <col min="11" max="11" width="28.5703125" style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15" hidden="1" x14ac:dyDescent="0.25"/>
    <row r="5" spans="2:24" ht="28.5" customHeight="1" x14ac:dyDescent="0.25">
      <c r="B5" s="144" t="s">
        <v>71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</row>
    <row r="6" spans="2:24" ht="27" hidden="1" customHeight="1" x14ac:dyDescent="0.25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</row>
    <row r="7" spans="2:24" ht="45" customHeight="1" x14ac:dyDescent="0.25"/>
    <row r="8" spans="2:24" ht="45" customHeight="1" x14ac:dyDescent="0.25">
      <c r="B8" s="145" t="s">
        <v>8</v>
      </c>
      <c r="C8" s="145"/>
      <c r="D8" s="145"/>
      <c r="E8" s="145"/>
      <c r="F8" s="96">
        <f>SUMIF($D$16:$D$26,"PINT",$T$16:$T$26)</f>
        <v>0</v>
      </c>
      <c r="G8" s="97">
        <f>SUMIF($D$16:$D$26,"PINT",$N$16:$N$26)</f>
        <v>89021</v>
      </c>
      <c r="H8" s="98">
        <f>F8/$F$11</f>
        <v>0</v>
      </c>
      <c r="I8" s="34"/>
      <c r="J8" s="117">
        <v>12</v>
      </c>
      <c r="K8" s="118">
        <f>+J8*F8</f>
        <v>0</v>
      </c>
      <c r="L8" s="32"/>
      <c r="M8" s="32"/>
    </row>
    <row r="9" spans="2:24" ht="45" customHeight="1" x14ac:dyDescent="0.25">
      <c r="B9" s="145" t="s">
        <v>36</v>
      </c>
      <c r="C9" s="145"/>
      <c r="D9" s="145"/>
      <c r="E9" s="145"/>
      <c r="F9" s="96">
        <f>SUMIF($D$16:$D$26,"TAMB",$T$16:$T$26)</f>
        <v>140397.212</v>
      </c>
      <c r="G9" s="97">
        <f>SUMIF($D$16:$D$26,"TAMB",$N$16:$N$26)</f>
        <v>379615</v>
      </c>
      <c r="H9" s="98">
        <f>F9/$F$11</f>
        <v>1</v>
      </c>
      <c r="I9" s="34"/>
      <c r="J9" s="117">
        <v>8</v>
      </c>
      <c r="K9" s="118">
        <f>+J9*F9</f>
        <v>1123177.696</v>
      </c>
      <c r="L9" s="32"/>
      <c r="M9" s="32"/>
    </row>
    <row r="10" spans="2:24" ht="45" customHeight="1" x14ac:dyDescent="0.25">
      <c r="B10" s="145" t="s">
        <v>65</v>
      </c>
      <c r="C10" s="145"/>
      <c r="D10" s="145"/>
      <c r="E10" s="145"/>
      <c r="F10" s="96">
        <f>SUMIF($D$16:$D$26,"TILAPIA",$T$16:$T$26)</f>
        <v>0</v>
      </c>
      <c r="G10" s="97">
        <f>SUMIF($D$16:$D$26,"TILAPIA",$N$16:$N$26)</f>
        <v>28639</v>
      </c>
      <c r="H10" s="98">
        <f>F10/$F$11</f>
        <v>0</v>
      </c>
      <c r="I10" s="34"/>
      <c r="J10" s="117">
        <v>7.5</v>
      </c>
      <c r="K10" s="118">
        <f>+J10*F10</f>
        <v>0</v>
      </c>
      <c r="L10" s="32"/>
      <c r="M10" s="32"/>
    </row>
    <row r="11" spans="2:24" ht="45" customHeight="1" x14ac:dyDescent="0.25">
      <c r="B11" s="99"/>
      <c r="C11" s="99"/>
      <c r="D11" s="99"/>
      <c r="E11" s="99"/>
      <c r="F11" s="100">
        <f>SUM(F8:F10)</f>
        <v>140397.212</v>
      </c>
      <c r="G11" s="101">
        <f>SUM(G8:G10)</f>
        <v>497275</v>
      </c>
      <c r="H11" s="102">
        <f>F11/$F$11</f>
        <v>1</v>
      </c>
      <c r="I11" s="35"/>
      <c r="K11" s="33"/>
      <c r="L11" s="33"/>
      <c r="M11" s="33"/>
      <c r="U11" s="1" t="s">
        <v>72</v>
      </c>
    </row>
    <row r="12" spans="2:24" ht="15" hidden="1" x14ac:dyDescent="0.25"/>
    <row r="13" spans="2:24" ht="15" hidden="1" x14ac:dyDescent="0.25"/>
    <row r="14" spans="2:24" ht="27" customHeight="1" thickBot="1" x14ac:dyDescent="0.3">
      <c r="E14" s="147" t="s">
        <v>17</v>
      </c>
      <c r="F14" s="147"/>
      <c r="G14" s="147"/>
      <c r="H14" s="147"/>
      <c r="I14" s="147"/>
    </row>
    <row r="15" spans="2:24" s="3" customFormat="1" ht="107.25" customHeight="1" thickBot="1" x14ac:dyDescent="0.3">
      <c r="B15" s="103" t="s">
        <v>0</v>
      </c>
      <c r="C15" s="104" t="s">
        <v>46</v>
      </c>
      <c r="D15" s="105" t="s">
        <v>1</v>
      </c>
      <c r="E15" s="106" t="s">
        <v>17</v>
      </c>
      <c r="F15" s="106" t="s">
        <v>18</v>
      </c>
      <c r="G15" s="107" t="s">
        <v>45</v>
      </c>
      <c r="H15" s="107" t="s">
        <v>53</v>
      </c>
      <c r="I15" s="107" t="s">
        <v>54</v>
      </c>
      <c r="J15" s="108" t="s">
        <v>39</v>
      </c>
      <c r="K15" s="108" t="s">
        <v>55</v>
      </c>
      <c r="L15" s="109" t="s">
        <v>59</v>
      </c>
      <c r="M15" s="109" t="s">
        <v>61</v>
      </c>
      <c r="N15" s="108" t="s">
        <v>38</v>
      </c>
      <c r="O15" s="108" t="s">
        <v>2</v>
      </c>
      <c r="P15" s="108" t="s">
        <v>3</v>
      </c>
      <c r="Q15" s="108" t="s">
        <v>41</v>
      </c>
      <c r="R15" s="105" t="s">
        <v>4</v>
      </c>
      <c r="S15" s="105" t="s">
        <v>56</v>
      </c>
      <c r="T15" s="105" t="s">
        <v>5</v>
      </c>
      <c r="U15" s="105" t="s">
        <v>6</v>
      </c>
      <c r="V15" s="110" t="s">
        <v>7</v>
      </c>
      <c r="W15" s="111"/>
      <c r="X15" s="111"/>
    </row>
    <row r="16" spans="2:24" ht="87.75" customHeight="1" thickBot="1" x14ac:dyDescent="0.3">
      <c r="B16" s="41" t="s">
        <v>20</v>
      </c>
      <c r="C16" s="42">
        <v>67</v>
      </c>
      <c r="D16" s="43" t="s">
        <v>9</v>
      </c>
      <c r="E16" s="44">
        <v>43833</v>
      </c>
      <c r="F16" s="63">
        <v>4084</v>
      </c>
      <c r="G16" s="64">
        <v>25000</v>
      </c>
      <c r="H16" s="64">
        <f>G16-N16</f>
        <v>12585</v>
      </c>
      <c r="I16" s="64">
        <v>0</v>
      </c>
      <c r="J16" s="64">
        <v>12415</v>
      </c>
      <c r="K16" s="64">
        <f>J16-N16</f>
        <v>0</v>
      </c>
      <c r="L16" s="64">
        <v>0</v>
      </c>
      <c r="M16" s="64" t="s">
        <v>60</v>
      </c>
      <c r="N16" s="64">
        <v>12415</v>
      </c>
      <c r="O16" s="65">
        <v>4084</v>
      </c>
      <c r="P16" s="65">
        <v>4084</v>
      </c>
      <c r="Q16" s="66">
        <v>44336</v>
      </c>
      <c r="R16" s="67">
        <f t="shared" ref="R16:R22" si="0">J16*O16/1000</f>
        <v>50702.86</v>
      </c>
      <c r="S16" s="68">
        <f t="shared" ref="S16:S24" si="1">T16-R16</f>
        <v>0</v>
      </c>
      <c r="T16" s="67">
        <f>N16*P16/1000</f>
        <v>50702.86</v>
      </c>
      <c r="U16" s="69" t="s">
        <v>37</v>
      </c>
      <c r="V16" s="70">
        <f t="shared" ref="V16:V22" si="2">IFERROR((P16-O16)/O16,"")</f>
        <v>0</v>
      </c>
      <c r="W16" s="113"/>
      <c r="X16" s="112"/>
    </row>
    <row r="17" spans="2:24" ht="87.75" customHeight="1" thickBot="1" x14ac:dyDescent="0.3">
      <c r="B17" s="41" t="s">
        <v>62</v>
      </c>
      <c r="C17" s="42">
        <v>67</v>
      </c>
      <c r="D17" s="43" t="s">
        <v>9</v>
      </c>
      <c r="E17" s="44">
        <v>44375</v>
      </c>
      <c r="F17" s="63">
        <v>197</v>
      </c>
      <c r="G17" s="64">
        <v>198104</v>
      </c>
      <c r="H17" s="64">
        <f>G17-N17</f>
        <v>127584</v>
      </c>
      <c r="I17" s="64">
        <v>0</v>
      </c>
      <c r="J17" s="64">
        <v>73677</v>
      </c>
      <c r="K17" s="64">
        <v>3157</v>
      </c>
      <c r="L17" s="64">
        <v>0</v>
      </c>
      <c r="M17" s="64" t="s">
        <v>60</v>
      </c>
      <c r="N17" s="64">
        <f>J17-K17</f>
        <v>70520</v>
      </c>
      <c r="O17" s="65">
        <v>1950</v>
      </c>
      <c r="P17" s="65"/>
      <c r="Q17" s="81"/>
      <c r="R17" s="67">
        <f t="shared" si="0"/>
        <v>143670.15</v>
      </c>
      <c r="S17" s="68">
        <f t="shared" ref="S17" si="3">T17-R17</f>
        <v>-143670.15</v>
      </c>
      <c r="T17" s="67">
        <f>N17*P17/1000</f>
        <v>0</v>
      </c>
      <c r="U17" s="69" t="s">
        <v>37</v>
      </c>
      <c r="V17" s="70">
        <f t="shared" ref="V17" si="4">IFERROR((P17-O17)/O17,"")</f>
        <v>-1</v>
      </c>
      <c r="W17" s="113"/>
      <c r="X17" s="112"/>
    </row>
    <row r="18" spans="2:24" ht="87.75" customHeight="1" thickBot="1" x14ac:dyDescent="0.3">
      <c r="B18" s="45" t="s">
        <v>21</v>
      </c>
      <c r="C18" s="46">
        <v>91.7</v>
      </c>
      <c r="D18" s="47" t="s">
        <v>9</v>
      </c>
      <c r="E18" s="48">
        <v>43394</v>
      </c>
      <c r="F18" s="71">
        <v>5816</v>
      </c>
      <c r="G18" s="72">
        <v>20000</v>
      </c>
      <c r="H18" s="72">
        <v>0</v>
      </c>
      <c r="I18" s="72">
        <v>0</v>
      </c>
      <c r="J18" s="72">
        <v>15422</v>
      </c>
      <c r="K18" s="72">
        <f>J18-N18</f>
        <v>0</v>
      </c>
      <c r="L18" s="72">
        <v>0</v>
      </c>
      <c r="M18" s="72" t="s">
        <v>60</v>
      </c>
      <c r="N18" s="72">
        <v>15422</v>
      </c>
      <c r="O18" s="73">
        <v>5816</v>
      </c>
      <c r="P18" s="73">
        <v>5816</v>
      </c>
      <c r="Q18" s="74">
        <v>44348</v>
      </c>
      <c r="R18" s="75">
        <f t="shared" si="0"/>
        <v>89694.351999999999</v>
      </c>
      <c r="S18" s="76">
        <f t="shared" si="1"/>
        <v>0</v>
      </c>
      <c r="T18" s="75">
        <f t="shared" ref="T18:T26" si="5">N18*P18/1000</f>
        <v>89694.351999999999</v>
      </c>
      <c r="U18" s="77" t="s">
        <v>37</v>
      </c>
      <c r="V18" s="78">
        <f t="shared" si="2"/>
        <v>0</v>
      </c>
      <c r="W18" s="113"/>
      <c r="X18" s="113"/>
    </row>
    <row r="19" spans="2:24" ht="87.75" customHeight="1" thickBot="1" x14ac:dyDescent="0.3">
      <c r="B19" s="45" t="s">
        <v>57</v>
      </c>
      <c r="C19" s="46">
        <v>91.7</v>
      </c>
      <c r="D19" s="47" t="s">
        <v>9</v>
      </c>
      <c r="E19" s="48">
        <v>44348</v>
      </c>
      <c r="F19" s="71">
        <v>249</v>
      </c>
      <c r="G19" s="72">
        <v>100021</v>
      </c>
      <c r="H19" s="72">
        <f>G19-I19-N19</f>
        <v>62270</v>
      </c>
      <c r="I19" s="72">
        <v>0</v>
      </c>
      <c r="J19" s="72">
        <v>60678</v>
      </c>
      <c r="K19" s="72">
        <v>22927</v>
      </c>
      <c r="L19" s="72">
        <v>0</v>
      </c>
      <c r="M19" s="72" t="s">
        <v>60</v>
      </c>
      <c r="N19" s="72">
        <f>J19-K19</f>
        <v>37751</v>
      </c>
      <c r="O19" s="73">
        <v>1560</v>
      </c>
      <c r="P19" s="73"/>
      <c r="Q19" s="74"/>
      <c r="R19" s="75">
        <f t="shared" si="0"/>
        <v>94657.68</v>
      </c>
      <c r="S19" s="76">
        <f>T19-R19</f>
        <v>-94657.68</v>
      </c>
      <c r="T19" s="75">
        <f>N19*P19/1000</f>
        <v>0</v>
      </c>
      <c r="U19" s="77" t="s">
        <v>67</v>
      </c>
      <c r="V19" s="78">
        <f t="shared" ref="V19" si="6">IFERROR((P19-O19)/O19,"")</f>
        <v>-1</v>
      </c>
      <c r="W19" s="113"/>
      <c r="X19" s="113"/>
    </row>
    <row r="20" spans="2:24" ht="87.75" customHeight="1" thickBot="1" x14ac:dyDescent="0.3">
      <c r="B20" s="41" t="s">
        <v>22</v>
      </c>
      <c r="C20" s="42">
        <v>84.71</v>
      </c>
      <c r="D20" s="43"/>
      <c r="E20" s="51" t="s">
        <v>58</v>
      </c>
      <c r="F20" s="63"/>
      <c r="G20" s="64"/>
      <c r="H20" s="79"/>
      <c r="I20" s="64"/>
      <c r="J20" s="64"/>
      <c r="K20" s="64"/>
      <c r="L20" s="64"/>
      <c r="M20" s="64"/>
      <c r="N20" s="64"/>
      <c r="O20" s="80"/>
      <c r="P20" s="80"/>
      <c r="Q20" s="81"/>
      <c r="R20" s="67"/>
      <c r="S20" s="82"/>
      <c r="T20" s="67"/>
      <c r="U20" s="83"/>
      <c r="V20" s="84"/>
      <c r="W20" s="113"/>
      <c r="X20" s="114"/>
    </row>
    <row r="21" spans="2:24" ht="87.75" customHeight="1" thickBot="1" x14ac:dyDescent="0.3">
      <c r="B21" s="45" t="s">
        <v>23</v>
      </c>
      <c r="C21" s="46">
        <v>63</v>
      </c>
      <c r="D21" s="47" t="s">
        <v>9</v>
      </c>
      <c r="E21" s="48">
        <v>44420</v>
      </c>
      <c r="F21" s="71">
        <v>164</v>
      </c>
      <c r="G21" s="72">
        <v>217882</v>
      </c>
      <c r="H21" s="72">
        <v>0</v>
      </c>
      <c r="I21" s="72">
        <v>0</v>
      </c>
      <c r="J21" s="72">
        <v>246193</v>
      </c>
      <c r="K21" s="72">
        <v>2686</v>
      </c>
      <c r="L21" s="72">
        <v>0</v>
      </c>
      <c r="M21" s="72" t="s">
        <v>60</v>
      </c>
      <c r="N21" s="72">
        <f>J21-K21</f>
        <v>243507</v>
      </c>
      <c r="O21" s="73">
        <v>1341</v>
      </c>
      <c r="P21" s="73"/>
      <c r="Q21" s="74"/>
      <c r="R21" s="75">
        <f t="shared" si="0"/>
        <v>330144.81300000002</v>
      </c>
      <c r="S21" s="76">
        <f>T21-R21</f>
        <v>-330144.81300000002</v>
      </c>
      <c r="T21" s="75">
        <f>N21*P21/1000</f>
        <v>0</v>
      </c>
      <c r="U21" s="77" t="s">
        <v>68</v>
      </c>
      <c r="V21" s="78">
        <f t="shared" si="2"/>
        <v>-1</v>
      </c>
      <c r="W21" s="113"/>
      <c r="X21" s="113"/>
    </row>
    <row r="22" spans="2:24" ht="87.75" customHeight="1" thickBot="1" x14ac:dyDescent="0.3">
      <c r="B22" s="49" t="s">
        <v>24</v>
      </c>
      <c r="C22" s="42">
        <v>1.6</v>
      </c>
      <c r="D22" s="50" t="s">
        <v>10</v>
      </c>
      <c r="E22" s="51">
        <v>44540</v>
      </c>
      <c r="F22" s="85">
        <v>133</v>
      </c>
      <c r="G22" s="64">
        <v>50288</v>
      </c>
      <c r="H22" s="79">
        <v>0</v>
      </c>
      <c r="I22" s="79">
        <v>0</v>
      </c>
      <c r="J22" s="79">
        <v>50288</v>
      </c>
      <c r="K22" s="64">
        <v>0</v>
      </c>
      <c r="L22" s="64">
        <v>0</v>
      </c>
      <c r="M22" s="64" t="s">
        <v>60</v>
      </c>
      <c r="N22" s="79">
        <v>50152</v>
      </c>
      <c r="O22" s="65">
        <v>479</v>
      </c>
      <c r="P22" s="65"/>
      <c r="Q22" s="81"/>
      <c r="R22" s="67">
        <f t="shared" si="0"/>
        <v>24087.952000000001</v>
      </c>
      <c r="S22" s="68">
        <f t="shared" ref="S22" si="7">T22-R22</f>
        <v>-24087.952000000001</v>
      </c>
      <c r="T22" s="67">
        <f>N22*P22/1000</f>
        <v>0</v>
      </c>
      <c r="U22" s="69" t="s">
        <v>69</v>
      </c>
      <c r="V22" s="70">
        <f t="shared" si="2"/>
        <v>-1</v>
      </c>
      <c r="W22" s="113"/>
      <c r="X22" s="114"/>
    </row>
    <row r="23" spans="2:24" ht="87.75" customHeight="1" thickBot="1" x14ac:dyDescent="0.3">
      <c r="B23" s="45" t="s">
        <v>40</v>
      </c>
      <c r="C23" s="46">
        <v>2.1</v>
      </c>
      <c r="D23" s="47"/>
      <c r="E23" s="48" t="s">
        <v>58</v>
      </c>
      <c r="F23" s="71"/>
      <c r="G23" s="72"/>
      <c r="H23" s="72"/>
      <c r="I23" s="72"/>
      <c r="J23" s="72"/>
      <c r="K23" s="72"/>
      <c r="L23" s="72"/>
      <c r="M23" s="72"/>
      <c r="N23" s="72"/>
      <c r="O23" s="73"/>
      <c r="P23" s="73"/>
      <c r="Q23" s="74"/>
      <c r="R23" s="75"/>
      <c r="S23" s="76"/>
      <c r="T23" s="75"/>
      <c r="U23" s="77"/>
      <c r="V23" s="78"/>
      <c r="W23" s="113"/>
      <c r="X23" s="113"/>
    </row>
    <row r="24" spans="2:24" ht="87.75" customHeight="1" thickBot="1" x14ac:dyDescent="0.3">
      <c r="B24" s="52" t="s">
        <v>42</v>
      </c>
      <c r="C24" s="42">
        <v>1.4</v>
      </c>
      <c r="D24" s="53" t="s">
        <v>64</v>
      </c>
      <c r="E24" s="51">
        <v>44587</v>
      </c>
      <c r="F24" s="86">
        <v>110</v>
      </c>
      <c r="G24" s="87">
        <v>19007</v>
      </c>
      <c r="H24" s="79">
        <v>0</v>
      </c>
      <c r="I24" s="88">
        <v>0</v>
      </c>
      <c r="J24" s="88">
        <v>19007</v>
      </c>
      <c r="K24" s="88">
        <v>0</v>
      </c>
      <c r="L24" s="64">
        <v>0</v>
      </c>
      <c r="M24" s="64" t="s">
        <v>60</v>
      </c>
      <c r="N24" s="88">
        <v>19007</v>
      </c>
      <c r="O24" s="89">
        <v>389</v>
      </c>
      <c r="P24" s="89"/>
      <c r="Q24" s="81"/>
      <c r="R24" s="90">
        <f>J24*O24/1000</f>
        <v>7393.723</v>
      </c>
      <c r="S24" s="91">
        <f t="shared" si="1"/>
        <v>-7393.723</v>
      </c>
      <c r="T24" s="92">
        <f>N24*P24/1000</f>
        <v>0</v>
      </c>
      <c r="U24" s="93" t="s">
        <v>66</v>
      </c>
      <c r="V24" s="94">
        <f>IFERROR((P24-O24)/O24,"")</f>
        <v>-1</v>
      </c>
      <c r="W24" s="113"/>
      <c r="X24" s="115"/>
    </row>
    <row r="25" spans="2:24" ht="87.75" customHeight="1" thickBot="1" x14ac:dyDescent="0.3">
      <c r="B25" s="45" t="s">
        <v>25</v>
      </c>
      <c r="C25" s="46">
        <v>0.75</v>
      </c>
      <c r="D25" s="47" t="s">
        <v>64</v>
      </c>
      <c r="E25" s="48">
        <v>44581</v>
      </c>
      <c r="F25" s="71">
        <v>233</v>
      </c>
      <c r="G25" s="72">
        <v>9632</v>
      </c>
      <c r="H25" s="72">
        <v>0</v>
      </c>
      <c r="I25" s="72">
        <v>0</v>
      </c>
      <c r="J25" s="72">
        <v>9632</v>
      </c>
      <c r="K25" s="72">
        <v>0</v>
      </c>
      <c r="L25" s="72">
        <v>0</v>
      </c>
      <c r="M25" s="72" t="s">
        <v>60</v>
      </c>
      <c r="N25" s="72">
        <v>9632</v>
      </c>
      <c r="O25" s="73">
        <v>598</v>
      </c>
      <c r="P25" s="73"/>
      <c r="Q25" s="74"/>
      <c r="R25" s="75">
        <f>J25*O25/1000</f>
        <v>5759.9359999999997</v>
      </c>
      <c r="S25" s="76">
        <f t="shared" ref="S25" si="8">T25-R25</f>
        <v>-5759.9359999999997</v>
      </c>
      <c r="T25" s="75">
        <f>N25*P25/1000</f>
        <v>0</v>
      </c>
      <c r="U25" s="77" t="s">
        <v>70</v>
      </c>
      <c r="V25" s="78">
        <f>IFERROR((P25-O25)/O25,"")</f>
        <v>-1</v>
      </c>
      <c r="W25" s="113"/>
      <c r="X25" s="113"/>
    </row>
    <row r="26" spans="2:24" ht="87.75" customHeight="1" thickBot="1" x14ac:dyDescent="0.3">
      <c r="B26" s="49" t="s">
        <v>26</v>
      </c>
      <c r="C26" s="42">
        <v>1.6</v>
      </c>
      <c r="D26" s="50" t="s">
        <v>10</v>
      </c>
      <c r="E26" s="51">
        <v>44365</v>
      </c>
      <c r="F26" s="85">
        <v>196</v>
      </c>
      <c r="G26" s="64">
        <v>33394</v>
      </c>
      <c r="H26" s="79">
        <v>0</v>
      </c>
      <c r="I26" s="79">
        <v>0</v>
      </c>
      <c r="J26" s="79">
        <f>33394+1134</f>
        <v>34528</v>
      </c>
      <c r="K26" s="64">
        <v>0</v>
      </c>
      <c r="L26" s="64">
        <v>0</v>
      </c>
      <c r="M26" s="64" t="s">
        <v>60</v>
      </c>
      <c r="N26" s="79">
        <f>34528+4341</f>
        <v>38869</v>
      </c>
      <c r="O26" s="65">
        <v>1154</v>
      </c>
      <c r="P26" s="65"/>
      <c r="Q26" s="81"/>
      <c r="R26" s="67">
        <f>J26*O26/1000</f>
        <v>39845.311999999998</v>
      </c>
      <c r="S26" s="95">
        <f>T26-R26</f>
        <v>-39845.311999999998</v>
      </c>
      <c r="T26" s="67">
        <f t="shared" si="5"/>
        <v>0</v>
      </c>
      <c r="U26" s="93" t="s">
        <v>68</v>
      </c>
      <c r="V26" s="94">
        <f>IFERROR((P26-O26)/O26,"")</f>
        <v>-1</v>
      </c>
      <c r="W26" s="113"/>
      <c r="X26" s="115"/>
    </row>
    <row r="27" spans="2:24" ht="45" customHeight="1" thickBot="1" x14ac:dyDescent="0.3">
      <c r="B27" s="54" t="s">
        <v>44</v>
      </c>
      <c r="C27" s="55">
        <f>SUM(C16:C26)</f>
        <v>472.56</v>
      </c>
      <c r="D27" s="56"/>
      <c r="E27" s="54"/>
      <c r="F27" s="54"/>
      <c r="G27" s="57"/>
      <c r="H27" s="58">
        <f>SUM(H16:H26)</f>
        <v>202439</v>
      </c>
      <c r="I27" s="58">
        <f>SUM(I16:I26)</f>
        <v>0</v>
      </c>
      <c r="J27" s="58">
        <f>SUM(J16:J26)</f>
        <v>521840</v>
      </c>
      <c r="K27" s="58">
        <f>SUM(K16:K26)</f>
        <v>28770</v>
      </c>
      <c r="L27" s="58"/>
      <c r="M27" s="58"/>
      <c r="N27" s="59">
        <f>SUM(N16:N26)</f>
        <v>497275</v>
      </c>
      <c r="O27" s="57"/>
      <c r="P27" s="57"/>
      <c r="Q27" s="57"/>
      <c r="R27" s="60">
        <f>SUM(R16:R26)</f>
        <v>785956.77800000005</v>
      </c>
      <c r="S27" s="61"/>
      <c r="T27" s="62">
        <f>SUM(T16:T26)</f>
        <v>140397.212</v>
      </c>
      <c r="U27" s="57"/>
      <c r="V27" s="57"/>
      <c r="W27" s="57"/>
      <c r="X27" s="57"/>
    </row>
    <row r="28" spans="2:24" ht="18.75" hidden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141" t="s">
        <v>47</v>
      </c>
      <c r="C33" s="142"/>
      <c r="D33" s="142"/>
      <c r="E33" s="143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38" t="s">
        <v>20</v>
      </c>
      <c r="C34" s="138" t="s">
        <v>50</v>
      </c>
      <c r="D34" s="138"/>
      <c r="E34" s="138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21</v>
      </c>
      <c r="C35" s="138" t="s">
        <v>50</v>
      </c>
      <c r="D35" s="138"/>
      <c r="E35" s="138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22</v>
      </c>
      <c r="C36" s="138" t="s">
        <v>52</v>
      </c>
      <c r="D36" s="138"/>
      <c r="E36" s="1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23</v>
      </c>
      <c r="C37" s="138" t="s">
        <v>50</v>
      </c>
      <c r="D37" s="138"/>
      <c r="E37" s="138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48</v>
      </c>
      <c r="C38" s="138" t="s">
        <v>51</v>
      </c>
      <c r="D38" s="138"/>
      <c r="E38" s="138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9" t="s">
        <v>49</v>
      </c>
      <c r="C39" s="139" t="s">
        <v>52</v>
      </c>
      <c r="D39" s="139"/>
      <c r="E39" s="139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45" customHeight="1" x14ac:dyDescent="0.25">
      <c r="B40" s="40"/>
      <c r="C40" s="137"/>
      <c r="D40" s="137"/>
      <c r="E40" s="13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51" customHeight="1" x14ac:dyDescent="0.25">
      <c r="B41" s="116" t="s">
        <v>63</v>
      </c>
      <c r="C41" s="116"/>
      <c r="D41" s="116"/>
      <c r="E41" s="116"/>
      <c r="F41" s="116"/>
      <c r="G41" s="116"/>
    </row>
  </sheetData>
  <mergeCells count="13">
    <mergeCell ref="B5:T6"/>
    <mergeCell ref="C40:E40"/>
    <mergeCell ref="E14:I14"/>
    <mergeCell ref="C39:E39"/>
    <mergeCell ref="B8:E8"/>
    <mergeCell ref="B9:E9"/>
    <mergeCell ref="C34:E34"/>
    <mergeCell ref="B33:E33"/>
    <mergeCell ref="C35:E35"/>
    <mergeCell ref="C36:E36"/>
    <mergeCell ref="C37:E37"/>
    <mergeCell ref="C38:E38"/>
    <mergeCell ref="B10:E10"/>
  </mergeCells>
  <phoneticPr fontId="9" type="noConversion"/>
  <conditionalFormatting sqref="P15:Q15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>
    <pageSetUpPr fitToPage="1"/>
  </sheetPr>
  <dimension ref="C2:L26"/>
  <sheetViews>
    <sheetView showGridLines="0" zoomScale="80" zoomScaleNormal="80" workbookViewId="0">
      <selection activeCell="D8" sqref="D8:H8"/>
    </sheetView>
  </sheetViews>
  <sheetFormatPr defaultColWidth="9.140625" defaultRowHeight="21" x14ac:dyDescent="0.25"/>
  <cols>
    <col min="3" max="3" width="37.85546875" bestFit="1" customWidth="1"/>
    <col min="4" max="4" width="19.5703125" style="4" customWidth="1"/>
    <col min="5" max="5" width="21" style="4" customWidth="1"/>
    <col min="6" max="6" width="33.140625" style="4" bestFit="1" customWidth="1"/>
    <col min="7" max="7" width="28.28515625" style="4" customWidth="1"/>
    <col min="8" max="8" width="18.28515625" customWidth="1"/>
    <col min="9" max="9" width="20.28515625" bestFit="1" customWidth="1"/>
    <col min="10" max="10" width="20.28515625" hidden="1" customWidth="1"/>
    <col min="11" max="11" width="27.28515625" hidden="1" customWidth="1"/>
    <col min="12" max="12" width="12.42578125" bestFit="1" customWidth="1"/>
    <col min="16" max="16" width="18" bestFit="1" customWidth="1"/>
  </cols>
  <sheetData>
    <row r="2" spans="3:12" ht="21" customHeight="1" x14ac:dyDescent="0.25">
      <c r="F2" s="5"/>
      <c r="G2" s="5"/>
      <c r="H2" s="5"/>
      <c r="I2" s="5"/>
      <c r="J2" s="5"/>
      <c r="K2" s="5"/>
    </row>
    <row r="3" spans="3:12" ht="21" customHeight="1" thickBot="1" x14ac:dyDescent="0.4">
      <c r="C3" s="149" t="s">
        <v>19</v>
      </c>
      <c r="D3" s="149"/>
      <c r="E3" s="149"/>
      <c r="F3" s="148" t="s">
        <v>43</v>
      </c>
      <c r="G3" s="148"/>
      <c r="H3" s="5"/>
      <c r="I3" s="5"/>
      <c r="J3" s="5"/>
      <c r="K3" s="5"/>
    </row>
    <row r="4" spans="3:12" ht="21" customHeight="1" thickTop="1" x14ac:dyDescent="0.25"/>
    <row r="6" spans="3:12" ht="30.75" customHeight="1" x14ac:dyDescent="0.35">
      <c r="C6" s="16" t="s">
        <v>12</v>
      </c>
      <c r="D6" s="22" t="s">
        <v>28</v>
      </c>
      <c r="E6" s="22" t="s">
        <v>29</v>
      </c>
      <c r="F6" s="22" t="s">
        <v>30</v>
      </c>
      <c r="G6" s="22" t="s">
        <v>31</v>
      </c>
      <c r="H6" s="22" t="s">
        <v>32</v>
      </c>
      <c r="I6" s="22" t="s">
        <v>34</v>
      </c>
      <c r="J6" s="22"/>
      <c r="K6" s="22"/>
      <c r="L6" s="22" t="s">
        <v>33</v>
      </c>
    </row>
    <row r="7" spans="3:12" x14ac:dyDescent="0.35">
      <c r="C7" s="17" t="s">
        <v>11</v>
      </c>
      <c r="D7" s="23">
        <f>SUMIFS('01'!$T$16:$T$26,'01'!$B$16:$B$26,"BARRAGEM 01",'01'!$D$16:$D$26,"PINT")</f>
        <v>0</v>
      </c>
      <c r="E7" s="23">
        <f>SUMIFS('01'!$T$16:$T$26,'01'!$B$16:$B$26,"BARRAGEM 02",'01'!$D$16:$D$26,"PINT")</f>
        <v>0</v>
      </c>
      <c r="F7" s="23">
        <f>SUMIFS('01'!$T$16:$T$26,'01'!$B$16:$B$26,"BARRAGEM 03",'01'!$D$16:$D$26,"PINT")</f>
        <v>0</v>
      </c>
      <c r="G7" s="23">
        <f>SUMIFS('01'!$T$16:$T$26,'01'!$B$16:$B$26,"BARRAGEM 03 PINH.",'01'!$D$16:$D$26,"PINT")</f>
        <v>0</v>
      </c>
      <c r="H7" s="23" t="e">
        <f>SUMIFS('01'!$T$16:$T$26,'01'!#REF!,"RACEWAY",'01'!$D$16:$D$26,"PINT")</f>
        <v>#REF!</v>
      </c>
      <c r="I7" s="24" t="e">
        <f>SUM(D7:H7)</f>
        <v>#REF!</v>
      </c>
      <c r="J7" s="30">
        <v>8.1</v>
      </c>
      <c r="K7" s="30" t="e">
        <f>J7*I7</f>
        <v>#REF!</v>
      </c>
      <c r="L7" s="18" t="e">
        <f>SUM(D7:H7)/SUM(D9:H9)</f>
        <v>#REF!</v>
      </c>
    </row>
    <row r="8" spans="3:12" x14ac:dyDescent="0.35">
      <c r="C8" s="29" t="s">
        <v>35</v>
      </c>
      <c r="D8" s="23">
        <f>SUMIFS('01'!$T$16:$T$26,'01'!$B$16:$B$26,"BARRAGEM 01",'01'!$D$16:$D$26,"TAMB")</f>
        <v>89694.351999999999</v>
      </c>
      <c r="E8" s="23">
        <f>SUMIFS('01'!$T$16:$T$26,'01'!$B$16:$B$26,"BARRAGEM 02",'01'!$D$16:$D$26,"TAMB")</f>
        <v>0</v>
      </c>
      <c r="F8" s="23">
        <f>SUMIFS('01'!$T$16:$T$26,'01'!$B$16:$B$26,"BARRAGEM 03",'01'!$D$16:$D$26,"TAMB")</f>
        <v>0</v>
      </c>
      <c r="G8" s="23">
        <f>SUMIFS('01'!$T$16:$T$26,'01'!$B$16:$B$26,"BARRAGEM 03 PINH.",'01'!$D$16:$D$26,"TAMB")</f>
        <v>50702.86</v>
      </c>
      <c r="H8" s="23" t="e">
        <f>SUMIFS('01'!$T$16:$T$26,'01'!#REF!,"RACEWAY",'01'!$D$16:$D$26,"TAMB")</f>
        <v>#REF!</v>
      </c>
      <c r="I8" s="24" t="e">
        <f>SUM(D8:H8)</f>
        <v>#REF!</v>
      </c>
      <c r="J8" s="30">
        <v>5.2</v>
      </c>
      <c r="K8" s="30" t="e">
        <f>J8*I8</f>
        <v>#REF!</v>
      </c>
      <c r="L8" s="18" t="e">
        <f>SUM(D8:H8)/SUM(D9:H9)</f>
        <v>#REF!</v>
      </c>
    </row>
    <row r="9" spans="3:12" ht="23.25" x14ac:dyDescent="0.3">
      <c r="C9" s="11"/>
      <c r="D9" s="12">
        <f t="shared" ref="D9:I9" si="0">SUM(D7:D8)</f>
        <v>89694.351999999999</v>
      </c>
      <c r="E9" s="12">
        <f t="shared" si="0"/>
        <v>0</v>
      </c>
      <c r="F9" s="12">
        <f t="shared" si="0"/>
        <v>0</v>
      </c>
      <c r="G9" s="12">
        <f t="shared" si="0"/>
        <v>50702.86</v>
      </c>
      <c r="H9" s="12" t="e">
        <f t="shared" si="0"/>
        <v>#REF!</v>
      </c>
      <c r="I9" s="12" t="e">
        <f t="shared" si="0"/>
        <v>#REF!</v>
      </c>
      <c r="J9" s="31"/>
      <c r="K9" s="31" t="e">
        <f>SUM(K7:K8)</f>
        <v>#REF!</v>
      </c>
      <c r="L9" s="14" t="e">
        <f>SUM(L7:L8)</f>
        <v>#REF!</v>
      </c>
    </row>
    <row r="11" spans="3:12" ht="23.25" x14ac:dyDescent="0.35">
      <c r="C11" s="6" t="s">
        <v>13</v>
      </c>
      <c r="D11" s="25" t="str">
        <f>D6</f>
        <v>BARR 1</v>
      </c>
      <c r="E11" s="25" t="str">
        <f t="shared" ref="E11:L11" si="1">E6</f>
        <v>BARR 2</v>
      </c>
      <c r="F11" s="25" t="str">
        <f t="shared" si="1"/>
        <v>BARR 3</v>
      </c>
      <c r="G11" s="25" t="str">
        <f t="shared" si="1"/>
        <v>TRES PINHEIROS</v>
      </c>
      <c r="H11" s="25" t="str">
        <f t="shared" si="1"/>
        <v>RACEWAY</v>
      </c>
      <c r="I11" s="25" t="str">
        <f>I6</f>
        <v>TOTAL</v>
      </c>
      <c r="J11" s="25"/>
      <c r="K11" s="25"/>
      <c r="L11" s="25" t="str">
        <f t="shared" si="1"/>
        <v>%</v>
      </c>
    </row>
    <row r="12" spans="3:12" x14ac:dyDescent="0.3">
      <c r="C12" s="19" t="s">
        <v>14</v>
      </c>
      <c r="D12" s="26">
        <f>SUMIFS('01'!$N$16:$N$26,'01'!$B$16:$B$26,"BARRAGEM 01",'01'!$D$16:$D$26,"PINT")</f>
        <v>0</v>
      </c>
      <c r="E12" s="26">
        <f>SUMIFS('01'!$N$16:$N$26,'01'!$B$16:$B$26,"BARRAGEM 02",'01'!$D$16:$D$26,"PINT")</f>
        <v>0</v>
      </c>
      <c r="F12" s="26">
        <f>SUMIFS('01'!$N$16:$N$26,'01'!$B$16:$B$26,"BARRAGEM 03",'01'!$D$16:$D$26,"PINT")</f>
        <v>0</v>
      </c>
      <c r="G12" s="26">
        <f>SUMIFS('01'!$N$16:$N$26,'01'!$B$16:$B$26,"BARRAGEM 03 PINH.",'01'!$D$16:$D$26,"PINT")</f>
        <v>0</v>
      </c>
      <c r="H12" s="26" t="e">
        <f>SUMIFS('01'!$N$16:$N$26,'01'!#REF!,"RACEWAY",'01'!$D$16:$D$26,"PINT")</f>
        <v>#REF!</v>
      </c>
      <c r="I12" s="27" t="e">
        <f>SUM(D12:H12)</f>
        <v>#REF!</v>
      </c>
      <c r="J12" s="27"/>
      <c r="K12" s="27"/>
      <c r="L12" s="28" t="e">
        <f>I12/I14</f>
        <v>#REF!</v>
      </c>
    </row>
    <row r="13" spans="3:12" x14ac:dyDescent="0.3">
      <c r="C13" s="13" t="s">
        <v>27</v>
      </c>
      <c r="D13" s="26">
        <f>SUMIFS('01'!$N$16:$N$26,'01'!$B$16:$B$26,"BARRAGEM 01",'01'!$D$16:$D$26,"TAMB")</f>
        <v>15422</v>
      </c>
      <c r="E13" s="26">
        <f>SUMIFS('01'!$N$16:$N$26,'01'!$B$16:$B$26,"BARRAGEM 02",'01'!$D$16:$D$26,"TAMB")</f>
        <v>0</v>
      </c>
      <c r="F13" s="26">
        <f>SUMIFS('01'!$N$16:$N$26,'01'!$B$16:$B$26,"BARRAGEM 03",'01'!$D$16:$D$26,"TAMB")</f>
        <v>243507</v>
      </c>
      <c r="G13" s="26">
        <f>SUMIFS('01'!$N$16:$N$26,'01'!$B$16:$B$26,"BARRAGEM 03 PINH.",'01'!$D$16:$D$26,"TAMB")</f>
        <v>12415</v>
      </c>
      <c r="H13" s="26" t="e">
        <f>SUMIFS('01'!$N$16:$N$26,'01'!#REF!,"RACEWAY",'01'!$D$16:$D$26,"TAMB")</f>
        <v>#REF!</v>
      </c>
      <c r="I13" s="27" t="e">
        <f>SUM(D13:H13)</f>
        <v>#REF!</v>
      </c>
      <c r="J13" s="27"/>
      <c r="K13" s="27"/>
      <c r="L13" s="28" t="e">
        <f>I13/I14</f>
        <v>#REF!</v>
      </c>
    </row>
    <row r="14" spans="3:12" x14ac:dyDescent="0.35">
      <c r="C14" s="7"/>
      <c r="D14" s="8">
        <f>SUM(D12:D13)</f>
        <v>15422</v>
      </c>
      <c r="E14" s="8">
        <f t="shared" ref="E14:L14" si="2">SUM(E12:E13)</f>
        <v>0</v>
      </c>
      <c r="F14" s="8">
        <f t="shared" si="2"/>
        <v>243507</v>
      </c>
      <c r="G14" s="8">
        <f t="shared" si="2"/>
        <v>12415</v>
      </c>
      <c r="H14" s="8" t="e">
        <f t="shared" si="2"/>
        <v>#REF!</v>
      </c>
      <c r="I14" s="8" t="e">
        <f>SUM(I12:I13)</f>
        <v>#REF!</v>
      </c>
      <c r="J14" s="8"/>
      <c r="K14" s="8"/>
      <c r="L14" s="15" t="e">
        <f t="shared" si="2"/>
        <v>#REF!</v>
      </c>
    </row>
    <row r="18" spans="3:5" x14ac:dyDescent="0.25">
      <c r="C18" t="s">
        <v>15</v>
      </c>
      <c r="D18" s="20" t="e">
        <f>I7</f>
        <v>#REF!</v>
      </c>
    </row>
    <row r="19" spans="3:5" x14ac:dyDescent="0.25">
      <c r="C19" t="s">
        <v>16</v>
      </c>
      <c r="D19" s="20" t="e">
        <f>I8</f>
        <v>#REF!</v>
      </c>
    </row>
    <row r="20" spans="3:5" x14ac:dyDescent="0.25">
      <c r="D20" s="9"/>
      <c r="E20" s="10"/>
    </row>
    <row r="22" spans="3:5" x14ac:dyDescent="0.25">
      <c r="C22" s="21" t="str">
        <f>D6</f>
        <v>BARR 1</v>
      </c>
      <c r="D22" s="20">
        <f>D9</f>
        <v>89694.351999999999</v>
      </c>
    </row>
    <row r="23" spans="3:5" x14ac:dyDescent="0.25">
      <c r="C23" s="21" t="str">
        <f>E6</f>
        <v>BARR 2</v>
      </c>
      <c r="D23" s="20">
        <f>E9</f>
        <v>0</v>
      </c>
    </row>
    <row r="24" spans="3:5" x14ac:dyDescent="0.25">
      <c r="C24" s="21" t="str">
        <f>F6</f>
        <v>BARR 3</v>
      </c>
      <c r="D24" s="20">
        <f>F9</f>
        <v>0</v>
      </c>
    </row>
    <row r="25" spans="3:5" x14ac:dyDescent="0.25">
      <c r="C25" s="21" t="str">
        <f>G6</f>
        <v>TRES PINHEIROS</v>
      </c>
      <c r="D25" s="20">
        <f>G9</f>
        <v>50702.86</v>
      </c>
    </row>
    <row r="26" spans="3:5" x14ac:dyDescent="0.25">
      <c r="C26" s="21" t="str">
        <f>H6</f>
        <v>RACEWAY</v>
      </c>
      <c r="D26" s="20" t="e">
        <f>H9</f>
        <v>#REF!</v>
      </c>
    </row>
  </sheetData>
  <sheetProtection sheet="1" objects="1" scenarios="1"/>
  <mergeCells count="2">
    <mergeCell ref="F3:G3"/>
    <mergeCell ref="C3:E3"/>
  </mergeCells>
  <phoneticPr fontId="9" type="noConversion"/>
  <printOptions horizontalCentered="1"/>
  <pageMargins left="0.11811023622047245" right="0.11811023622047245" top="0.78740157480314965" bottom="0.78740157480314965" header="0.31496062992125984" footer="0.31496062992125984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01 (2)</vt:lpstr>
      <vt:lpstr>Planilha1</vt:lpstr>
      <vt:lpstr>01</vt:lpstr>
      <vt:lpstr>RESUMO</vt:lpstr>
      <vt:lpstr>'01'!Area_de_impressao</vt:lpstr>
      <vt:lpstr>'01 (2)'!Area_de_impressao</vt:lpstr>
      <vt:lpstr>RESUMO!Area_de_impressao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Edimar</dc:creator>
  <cp:lastModifiedBy>USER</cp:lastModifiedBy>
  <cp:lastPrinted>2024-09-30T21:00:31Z</cp:lastPrinted>
  <dcterms:created xsi:type="dcterms:W3CDTF">2015-06-05T18:19:34Z</dcterms:created>
  <dcterms:modified xsi:type="dcterms:W3CDTF">2024-09-30T21:05:16Z</dcterms:modified>
</cp:coreProperties>
</file>