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codeName="ThisWorkbook" defaultThemeVersion="124226"/>
  <mc:AlternateContent xmlns:mc="http://schemas.openxmlformats.org/markup-compatibility/2006">
    <mc:Choice Requires="x15">
      <x15ac:absPath xmlns:x15ac="http://schemas.microsoft.com/office/spreadsheetml/2010/11/ac" url="C:\Users\Francisco\Documents\00-PEA\03-Red Iniciativas\"/>
    </mc:Choice>
  </mc:AlternateContent>
  <bookViews>
    <workbookView xWindow="0" yWindow="0" windowWidth="11640" windowHeight="7056" activeTab="5"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Group Edge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W3" i="1"/>
  <c r="V3" i="1"/>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32" i="3"/>
  <c r="AD233" i="3"/>
  <c r="AD234" i="3"/>
  <c r="AD235" i="3"/>
  <c r="AD236" i="3"/>
  <c r="AD237" i="3"/>
  <c r="AD238" i="3"/>
  <c r="AD239" i="3"/>
  <c r="AD240" i="3"/>
  <c r="AD241" i="3"/>
  <c r="AD242" i="3"/>
  <c r="AD243" i="3"/>
  <c r="AD244" i="3"/>
  <c r="AD245" i="3"/>
  <c r="AD246" i="3"/>
  <c r="AD247" i="3"/>
  <c r="AD248" i="3"/>
  <c r="AD249" i="3"/>
  <c r="AD250" i="3"/>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S105" i="1" l="1"/>
  <c r="S104" i="1"/>
  <c r="S103" i="1"/>
  <c r="S102" i="1"/>
  <c r="S101" i="1"/>
  <c r="S100" i="1"/>
  <c r="S99" i="1"/>
  <c r="S98" i="1"/>
  <c r="S97" i="1"/>
  <c r="S96" i="1"/>
  <c r="S95" i="1"/>
  <c r="S94" i="1"/>
  <c r="S93" i="1"/>
  <c r="S92" i="1"/>
  <c r="S91" i="1"/>
  <c r="S90" i="1"/>
  <c r="S86" i="1"/>
  <c r="S85" i="1"/>
  <c r="S84" i="1"/>
  <c r="S83" i="1"/>
  <c r="S82" i="1"/>
  <c r="S81" i="1"/>
  <c r="S80" i="1"/>
  <c r="W159" i="1" l="1"/>
  <c r="V159" i="1"/>
  <c r="W198" i="1"/>
  <c r="V198" i="1"/>
  <c r="W26" i="1"/>
  <c r="V26" i="1"/>
  <c r="W391" i="1"/>
  <c r="V391" i="1"/>
  <c r="W417" i="1"/>
  <c r="V417" i="1"/>
  <c r="W196" i="1"/>
  <c r="V196" i="1"/>
  <c r="S196" i="1"/>
  <c r="S185" i="1"/>
  <c r="S197" i="1"/>
  <c r="S186" i="1"/>
  <c r="S187" i="1"/>
  <c r="S188" i="1"/>
  <c r="S189" i="1"/>
  <c r="S190" i="1"/>
  <c r="S191" i="1"/>
  <c r="S192" i="1"/>
  <c r="S193" i="1"/>
  <c r="S195" i="1"/>
  <c r="S178" i="1"/>
  <c r="S183" i="1"/>
  <c r="S200" i="1"/>
  <c r="S201" i="1"/>
  <c r="S199" i="1"/>
  <c r="S202" i="1"/>
  <c r="S198" i="1"/>
  <c r="S120" i="1"/>
  <c r="S169" i="1"/>
  <c r="S170" i="1"/>
  <c r="S171" i="1"/>
  <c r="S172" i="1"/>
  <c r="S173" i="1"/>
  <c r="S174" i="1"/>
  <c r="S175" i="1"/>
  <c r="S176" i="1"/>
  <c r="S181" i="1"/>
  <c r="S203" i="1"/>
  <c r="S182" i="1"/>
  <c r="S4" i="1"/>
  <c r="S177" i="1"/>
  <c r="S179" i="1"/>
  <c r="S180" i="1"/>
  <c r="S184" i="1"/>
  <c r="S3" i="1"/>
  <c r="S5" i="1"/>
  <c r="S9" i="1"/>
  <c r="S18" i="1"/>
  <c r="S19" i="1"/>
  <c r="S10" i="1"/>
  <c r="S7" i="1"/>
  <c r="S11" i="1"/>
  <c r="S6" i="1"/>
  <c r="S12" i="1"/>
  <c r="S8" i="1"/>
  <c r="S13" i="1"/>
  <c r="S20" i="1"/>
  <c r="S15" i="1"/>
  <c r="S21" i="1"/>
  <c r="S22" i="1"/>
  <c r="S23" i="1"/>
  <c r="S24" i="1"/>
  <c r="S25" i="1"/>
  <c r="S148" i="1"/>
  <c r="S106" i="1"/>
  <c r="S107" i="1"/>
  <c r="S108" i="1"/>
  <c r="S109" i="1"/>
  <c r="S110" i="1"/>
  <c r="S111" i="1"/>
  <c r="S112" i="1"/>
  <c r="S149" i="1"/>
  <c r="S359" i="1"/>
  <c r="S360" i="1"/>
  <c r="S348" i="1"/>
  <c r="S349" i="1"/>
  <c r="S350" i="1"/>
  <c r="S351" i="1"/>
  <c r="S352" i="1"/>
  <c r="S353" i="1"/>
  <c r="S354" i="1"/>
  <c r="S355" i="1"/>
  <c r="S356" i="1"/>
  <c r="S357" i="1"/>
  <c r="S358" i="1"/>
  <c r="S150" i="1"/>
  <c r="S314" i="1"/>
  <c r="S315" i="1"/>
  <c r="S214" i="1"/>
  <c r="S215" i="1"/>
  <c r="S216" i="1"/>
  <c r="S217" i="1"/>
  <c r="S218" i="1"/>
  <c r="S305" i="1"/>
  <c r="S306" i="1"/>
  <c r="S307" i="1"/>
  <c r="S308" i="1"/>
  <c r="S309" i="1"/>
  <c r="S310" i="1"/>
  <c r="S311" i="1"/>
  <c r="S312" i="1"/>
  <c r="S313" i="1"/>
  <c r="S155" i="1"/>
  <c r="S329" i="1"/>
  <c r="S330" i="1"/>
  <c r="S316" i="1"/>
  <c r="S317" i="1"/>
  <c r="S318" i="1"/>
  <c r="S319" i="1"/>
  <c r="S320" i="1"/>
  <c r="S321" i="1"/>
  <c r="S322" i="1"/>
  <c r="S323" i="1"/>
  <c r="S324" i="1"/>
  <c r="S325" i="1"/>
  <c r="S326" i="1"/>
  <c r="S327" i="1"/>
  <c r="S328" i="1"/>
  <c r="S161" i="1"/>
  <c r="S168" i="1"/>
  <c r="S162" i="1"/>
  <c r="S167" i="1"/>
  <c r="S165" i="1"/>
  <c r="S166" i="1"/>
  <c r="S163" i="1"/>
  <c r="S160" i="1"/>
  <c r="S164" i="1"/>
  <c r="S63" i="1"/>
  <c r="S64" i="1"/>
  <c r="S65" i="1"/>
  <c r="S66" i="1"/>
  <c r="S62" i="1"/>
  <c r="S67" i="1"/>
  <c r="S88" i="1"/>
  <c r="S89" i="1"/>
  <c r="S59" i="1"/>
  <c r="S68" i="1"/>
  <c r="S60" i="1"/>
  <c r="S69" i="1"/>
  <c r="S70" i="1"/>
  <c r="S36" i="1"/>
  <c r="S71" i="1"/>
  <c r="S61" i="1"/>
  <c r="S72" i="1"/>
  <c r="S35" i="1"/>
  <c r="S73" i="1"/>
  <c r="S26" i="1"/>
  <c r="S27" i="1"/>
  <c r="S28" i="1"/>
  <c r="S74" i="1"/>
  <c r="S75" i="1"/>
  <c r="S29" i="1"/>
  <c r="S30" i="1"/>
  <c r="S31" i="1"/>
  <c r="S76" i="1"/>
  <c r="S79" i="1"/>
  <c r="S77" i="1"/>
  <c r="S32" i="1"/>
  <c r="S33" i="1"/>
  <c r="S34" i="1"/>
  <c r="S78" i="1"/>
  <c r="S87"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3" i="1"/>
  <c r="S304" i="1"/>
  <c r="E34" i="7"/>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P57" i="7"/>
  <c r="B140" i="7" s="1"/>
  <c r="P2" i="7"/>
  <c r="B139" i="7"/>
  <c r="B142" i="7"/>
  <c r="B141" i="7"/>
  <c r="R57" i="7"/>
  <c r="S57" i="7" s="1"/>
  <c r="B154" i="7"/>
  <c r="R2" i="7"/>
  <c r="B153" i="7" s="1"/>
  <c r="B156" i="7"/>
  <c r="B155" i="7"/>
  <c r="N57" i="7"/>
  <c r="B126" i="7"/>
  <c r="N2" i="7"/>
  <c r="B125" i="7" s="1"/>
  <c r="B128" i="7"/>
  <c r="B127" i="7"/>
  <c r="O57" i="7"/>
  <c r="L57" i="7"/>
  <c r="B112" i="7"/>
  <c r="L2" i="7"/>
  <c r="B111" i="7"/>
  <c r="J57" i="7"/>
  <c r="B98" i="7"/>
  <c r="J2" i="7"/>
  <c r="B97" i="7"/>
  <c r="B114" i="7"/>
  <c r="B113" i="7"/>
  <c r="M57" i="7"/>
  <c r="B84" i="7"/>
  <c r="B83" i="7"/>
  <c r="B70" i="7"/>
  <c r="B69" i="7"/>
  <c r="B100" i="7"/>
  <c r="B99" i="7"/>
  <c r="K57" i="7"/>
  <c r="B86" i="7"/>
  <c r="B85" i="7"/>
  <c r="H57" i="7"/>
  <c r="I57" i="7"/>
  <c r="H2" i="7"/>
  <c r="B72" i="7"/>
  <c r="B71" i="7"/>
  <c r="F57" i="7"/>
  <c r="G57" i="7"/>
  <c r="F2" i="7"/>
  <c r="F3" i="7" s="1"/>
  <c r="D57" i="7"/>
  <c r="B56" i="7"/>
  <c r="D2" i="7"/>
  <c r="B55" i="7" s="1"/>
  <c r="B58" i="7"/>
  <c r="B57" i="7"/>
  <c r="X2" i="7"/>
  <c r="P3" i="7" s="1"/>
  <c r="Q2" i="7" s="1"/>
  <c r="P4" i="7"/>
  <c r="P5" i="7"/>
  <c r="E57" i="7"/>
  <c r="Q3" i="7"/>
  <c r="N3" i="7"/>
  <c r="O2" i="7"/>
  <c r="F4" i="7"/>
  <c r="G2" i="7"/>
  <c r="F5" i="7"/>
  <c r="G3" i="7"/>
  <c r="F6" i="7"/>
  <c r="G4" i="7"/>
  <c r="F7" i="7"/>
  <c r="G6" i="7" s="1"/>
  <c r="G5" i="7"/>
  <c r="T57" i="7"/>
  <c r="T2" i="7"/>
  <c r="T3" i="7" l="1"/>
  <c r="N4" i="7"/>
  <c r="O3" i="7" s="1"/>
  <c r="F8" i="7"/>
  <c r="D3" i="7"/>
  <c r="Q4" i="7"/>
  <c r="P6" i="7"/>
  <c r="Q5" i="7" s="1"/>
  <c r="E2" i="7"/>
  <c r="H3" i="7"/>
  <c r="I2" i="7"/>
  <c r="J3" i="7"/>
  <c r="L3" i="7"/>
  <c r="R3" i="7"/>
  <c r="Q57" i="7"/>
  <c r="U57" i="7"/>
  <c r="U2" i="7"/>
  <c r="R4" i="7" l="1"/>
  <c r="S2" i="7"/>
  <c r="H4" i="7"/>
  <c r="L4" i="7"/>
  <c r="M3" i="7"/>
  <c r="M2" i="7"/>
  <c r="D4" i="7"/>
  <c r="J4" i="7"/>
  <c r="K2" i="7"/>
  <c r="F9" i="7"/>
  <c r="G7" i="7"/>
  <c r="P7" i="7"/>
  <c r="Q6" i="7"/>
  <c r="N5" i="7"/>
  <c r="O4" i="7"/>
  <c r="T4" i="7"/>
  <c r="U3" i="7"/>
  <c r="H5" i="7" l="1"/>
  <c r="I4" i="7" s="1"/>
  <c r="N6" i="7"/>
  <c r="O5" i="7" s="1"/>
  <c r="F10" i="7"/>
  <c r="G9" i="7" s="1"/>
  <c r="J5" i="7"/>
  <c r="K4" i="7" s="1"/>
  <c r="D5" i="7"/>
  <c r="E4" i="7" s="1"/>
  <c r="L5" i="7"/>
  <c r="M4" i="7" s="1"/>
  <c r="R5" i="7"/>
  <c r="S4" i="7" s="1"/>
  <c r="G8" i="7"/>
  <c r="T5" i="7"/>
  <c r="P8" i="7"/>
  <c r="Q7" i="7"/>
  <c r="K3" i="7"/>
  <c r="E3" i="7"/>
  <c r="I3" i="7"/>
  <c r="S3" i="7"/>
  <c r="U4" i="7"/>
  <c r="L6" i="7" l="1"/>
  <c r="J6" i="7"/>
  <c r="K5" i="7" s="1"/>
  <c r="N7" i="7"/>
  <c r="Q8" i="7"/>
  <c r="P9" i="7"/>
  <c r="T6" i="7"/>
  <c r="R6" i="7"/>
  <c r="S5" i="7" s="1"/>
  <c r="D6" i="7"/>
  <c r="F11" i="7"/>
  <c r="G10" i="7" s="1"/>
  <c r="I5" i="7"/>
  <c r="H6" i="7"/>
  <c r="D7" i="7" l="1"/>
  <c r="E6" i="7" s="1"/>
  <c r="T7" i="7"/>
  <c r="N8" i="7"/>
  <c r="O7" i="7" s="1"/>
  <c r="M6" i="7"/>
  <c r="L7" i="7"/>
  <c r="P10" i="7"/>
  <c r="Q9" i="7" s="1"/>
  <c r="S6" i="7"/>
  <c r="R7" i="7"/>
  <c r="J7" i="7"/>
  <c r="K6" i="7" s="1"/>
  <c r="H7" i="7"/>
  <c r="I6" i="7" s="1"/>
  <c r="E5" i="7"/>
  <c r="O6" i="7"/>
  <c r="M5" i="7"/>
  <c r="F12" i="7"/>
  <c r="G11" i="7" s="1"/>
  <c r="U5" i="7"/>
  <c r="U6" i="7"/>
  <c r="R8" i="7" l="1"/>
  <c r="L8" i="7"/>
  <c r="M7" i="7" s="1"/>
  <c r="T8" i="7"/>
  <c r="H8" i="7"/>
  <c r="I7" i="7" s="1"/>
  <c r="F13" i="7"/>
  <c r="K7" i="7"/>
  <c r="J8" i="7"/>
  <c r="P11" i="7"/>
  <c r="O8" i="7"/>
  <c r="N9" i="7"/>
  <c r="D8" i="7"/>
  <c r="U7" i="7"/>
  <c r="E8" i="7" l="1"/>
  <c r="D9" i="7"/>
  <c r="P12" i="7"/>
  <c r="Q11" i="7" s="1"/>
  <c r="G13" i="7"/>
  <c r="F14" i="7"/>
  <c r="R9" i="7"/>
  <c r="S8" i="7" s="1"/>
  <c r="O9" i="7"/>
  <c r="N10" i="7"/>
  <c r="K8" i="7"/>
  <c r="J9" i="7"/>
  <c r="I8" i="7"/>
  <c r="H9" i="7"/>
  <c r="L9" i="7"/>
  <c r="M8" i="7" s="1"/>
  <c r="E7" i="7"/>
  <c r="Q10" i="7"/>
  <c r="G12" i="7"/>
  <c r="T9" i="7"/>
  <c r="S7" i="7"/>
  <c r="T10" i="7" l="1"/>
  <c r="J10" i="7"/>
  <c r="L10" i="7"/>
  <c r="M9" i="7"/>
  <c r="R10" i="7"/>
  <c r="P13" i="7"/>
  <c r="Q12" i="7"/>
  <c r="I9" i="7"/>
  <c r="H10" i="7"/>
  <c r="N11" i="7"/>
  <c r="F15" i="7"/>
  <c r="D10" i="7"/>
  <c r="E9" i="7"/>
  <c r="U8" i="7"/>
  <c r="G15" i="7" l="1"/>
  <c r="F16" i="7"/>
  <c r="S10" i="7"/>
  <c r="R11" i="7"/>
  <c r="J11" i="7"/>
  <c r="K10" i="7" s="1"/>
  <c r="O11" i="7"/>
  <c r="N12" i="7"/>
  <c r="D11" i="7"/>
  <c r="E10" i="7" s="1"/>
  <c r="P14" i="7"/>
  <c r="Q13" i="7" s="1"/>
  <c r="M10" i="7"/>
  <c r="L11" i="7"/>
  <c r="T11" i="7"/>
  <c r="O10" i="7"/>
  <c r="G14" i="7"/>
  <c r="H11" i="7"/>
  <c r="I10" i="7" s="1"/>
  <c r="S9" i="7"/>
  <c r="K9" i="7"/>
  <c r="U9" i="7"/>
  <c r="U10" i="7"/>
  <c r="T12" i="7" l="1"/>
  <c r="O12" i="7"/>
  <c r="N13" i="7"/>
  <c r="S11" i="7"/>
  <c r="R12" i="7"/>
  <c r="H12" i="7"/>
  <c r="I11" i="7" s="1"/>
  <c r="P15" i="7"/>
  <c r="Q14" i="7" s="1"/>
  <c r="L12" i="7"/>
  <c r="M11" i="7" s="1"/>
  <c r="G16" i="7"/>
  <c r="F17" i="7"/>
  <c r="D12" i="7"/>
  <c r="E11" i="7" s="1"/>
  <c r="J12" i="7"/>
  <c r="U11" i="7"/>
  <c r="N14" i="7" l="1"/>
  <c r="J13" i="7"/>
  <c r="K12" i="7" s="1"/>
  <c r="D13" i="7"/>
  <c r="L13" i="7"/>
  <c r="M12" i="7" s="1"/>
  <c r="H13" i="7"/>
  <c r="K11" i="7"/>
  <c r="F18" i="7"/>
  <c r="G17" i="7"/>
  <c r="R13" i="7"/>
  <c r="T13" i="7"/>
  <c r="P16" i="7"/>
  <c r="Q15" i="7"/>
  <c r="U12" i="7"/>
  <c r="H14" i="7" l="1"/>
  <c r="I13" i="7" s="1"/>
  <c r="D14" i="7"/>
  <c r="E13" i="7" s="1"/>
  <c r="O14" i="7"/>
  <c r="N15" i="7"/>
  <c r="F19" i="7"/>
  <c r="G18" i="7" s="1"/>
  <c r="S13" i="7"/>
  <c r="R14" i="7"/>
  <c r="L14" i="7"/>
  <c r="M13" i="7" s="1"/>
  <c r="K13" i="7"/>
  <c r="J14" i="7"/>
  <c r="Q16" i="7"/>
  <c r="P17" i="7"/>
  <c r="S12" i="7"/>
  <c r="I12" i="7"/>
  <c r="E12" i="7"/>
  <c r="O13" i="7"/>
  <c r="T14" i="7"/>
  <c r="U13" i="7"/>
  <c r="P18" i="7" l="1"/>
  <c r="L15" i="7"/>
  <c r="M14" i="7" s="1"/>
  <c r="F20" i="7"/>
  <c r="E14" i="7"/>
  <c r="D15" i="7"/>
  <c r="J15" i="7"/>
  <c r="S14" i="7"/>
  <c r="R15" i="7"/>
  <c r="N16" i="7"/>
  <c r="T15" i="7"/>
  <c r="I14" i="7"/>
  <c r="H15" i="7"/>
  <c r="U14" i="7"/>
  <c r="N17" i="7" l="1"/>
  <c r="O16" i="7" s="1"/>
  <c r="K15" i="7"/>
  <c r="J16" i="7"/>
  <c r="G20" i="7"/>
  <c r="F21" i="7"/>
  <c r="P19" i="7"/>
  <c r="Q18" i="7" s="1"/>
  <c r="T16" i="7"/>
  <c r="R16" i="7"/>
  <c r="D16" i="7"/>
  <c r="E15" i="7" s="1"/>
  <c r="L16" i="7"/>
  <c r="H16" i="7"/>
  <c r="I15" i="7" s="1"/>
  <c r="O15" i="7"/>
  <c r="K14" i="7"/>
  <c r="G19" i="7"/>
  <c r="Q17" i="7"/>
  <c r="U15" i="7"/>
  <c r="L17" i="7" l="1"/>
  <c r="R17" i="7"/>
  <c r="S16" i="7" s="1"/>
  <c r="M15" i="7"/>
  <c r="S15" i="7"/>
  <c r="K16" i="7"/>
  <c r="J17" i="7"/>
  <c r="P20" i="7"/>
  <c r="G21" i="7"/>
  <c r="F22" i="7"/>
  <c r="H17" i="7"/>
  <c r="E16" i="7"/>
  <c r="D17" i="7"/>
  <c r="T17" i="7"/>
  <c r="O17" i="7"/>
  <c r="N18" i="7"/>
  <c r="L18" i="7" l="1"/>
  <c r="M17" i="7"/>
  <c r="N19" i="7"/>
  <c r="D18" i="7"/>
  <c r="F23" i="7"/>
  <c r="J18" i="7"/>
  <c r="K17" i="7"/>
  <c r="R18" i="7"/>
  <c r="M16" i="7"/>
  <c r="T18" i="7"/>
  <c r="H18" i="7"/>
  <c r="P21" i="7"/>
  <c r="I16" i="7"/>
  <c r="Q19" i="7"/>
  <c r="U16" i="7"/>
  <c r="U17" i="7"/>
  <c r="P22" i="7" l="1"/>
  <c r="Q21" i="7"/>
  <c r="D19" i="7"/>
  <c r="E18" i="7"/>
  <c r="H19" i="7"/>
  <c r="I18" i="7"/>
  <c r="I17" i="7"/>
  <c r="R19" i="7"/>
  <c r="G23" i="7"/>
  <c r="F24" i="7"/>
  <c r="O19" i="7"/>
  <c r="N20" i="7"/>
  <c r="Q20" i="7"/>
  <c r="T19" i="7"/>
  <c r="S17" i="7"/>
  <c r="G22" i="7"/>
  <c r="O18" i="7"/>
  <c r="J19" i="7"/>
  <c r="E17" i="7"/>
  <c r="L19" i="7"/>
  <c r="M18" i="7" s="1"/>
  <c r="U18" i="7"/>
  <c r="R20" i="7" l="1"/>
  <c r="F25" i="7"/>
  <c r="G24" i="7" s="1"/>
  <c r="D20" i="7"/>
  <c r="E19" i="7"/>
  <c r="L20" i="7"/>
  <c r="M19" i="7" s="1"/>
  <c r="J20" i="7"/>
  <c r="K19" i="7"/>
  <c r="T20" i="7"/>
  <c r="K18" i="7"/>
  <c r="N21" i="7"/>
  <c r="O20" i="7" s="1"/>
  <c r="S18" i="7"/>
  <c r="H20" i="7"/>
  <c r="I19" i="7"/>
  <c r="P23" i="7"/>
  <c r="Q22" i="7"/>
  <c r="U19" i="7"/>
  <c r="H21" i="7" l="1"/>
  <c r="I20" i="7" s="1"/>
  <c r="T21" i="7"/>
  <c r="P24" i="7"/>
  <c r="Q23" i="7" s="1"/>
  <c r="L21" i="7"/>
  <c r="M20" i="7" s="1"/>
  <c r="F26" i="7"/>
  <c r="G25" i="7" s="1"/>
  <c r="S20" i="7"/>
  <c r="R21" i="7"/>
  <c r="N22" i="7"/>
  <c r="O21" i="7" s="1"/>
  <c r="K20" i="7"/>
  <c r="J21" i="7"/>
  <c r="D21" i="7"/>
  <c r="S19" i="7"/>
  <c r="U20" i="7"/>
  <c r="D22" i="7" l="1"/>
  <c r="E21" i="7" s="1"/>
  <c r="J22" i="7"/>
  <c r="R22" i="7"/>
  <c r="S21" i="7"/>
  <c r="T22" i="7"/>
  <c r="L22" i="7"/>
  <c r="M21" i="7"/>
  <c r="E20" i="7"/>
  <c r="N23" i="7"/>
  <c r="O22" i="7"/>
  <c r="F28" i="7"/>
  <c r="G26" i="7"/>
  <c r="P25" i="7"/>
  <c r="Q24" i="7"/>
  <c r="H22" i="7"/>
  <c r="I21" i="7" s="1"/>
  <c r="F40" i="7" l="1"/>
  <c r="G28" i="7"/>
  <c r="G27" i="7"/>
  <c r="L23" i="7"/>
  <c r="M22" i="7"/>
  <c r="R23" i="7"/>
  <c r="S22" i="7" s="1"/>
  <c r="P26" i="7"/>
  <c r="Q25" i="7"/>
  <c r="N24" i="7"/>
  <c r="O23" i="7" s="1"/>
  <c r="T23" i="7"/>
  <c r="J23" i="7"/>
  <c r="K22" i="7" s="1"/>
  <c r="K21" i="7"/>
  <c r="E22" i="7"/>
  <c r="D23" i="7"/>
  <c r="H23" i="7"/>
  <c r="I22" i="7" s="1"/>
  <c r="U21" i="7"/>
  <c r="U22" i="7"/>
  <c r="G40" i="7" l="1"/>
  <c r="G39" i="7"/>
  <c r="G38" i="7"/>
  <c r="F41" i="7"/>
  <c r="T24" i="7"/>
  <c r="P28" i="7"/>
  <c r="Q26" i="7" s="1"/>
  <c r="L24" i="7"/>
  <c r="M23" i="7"/>
  <c r="E23" i="7"/>
  <c r="D24" i="7"/>
  <c r="J24" i="7"/>
  <c r="K23" i="7"/>
  <c r="N25" i="7"/>
  <c r="R24" i="7"/>
  <c r="S23" i="7"/>
  <c r="I23" i="7"/>
  <c r="H24" i="7"/>
  <c r="U23" i="7"/>
  <c r="N26" i="7" l="1"/>
  <c r="O25" i="7" s="1"/>
  <c r="I24" i="7"/>
  <c r="H25" i="7"/>
  <c r="O24" i="7"/>
  <c r="D25" i="7"/>
  <c r="F42" i="7"/>
  <c r="G41" i="7"/>
  <c r="P40" i="7"/>
  <c r="Q27" i="7"/>
  <c r="Q28" i="7"/>
  <c r="R25" i="7"/>
  <c r="J25" i="7"/>
  <c r="K24" i="7"/>
  <c r="L25" i="7"/>
  <c r="T25" i="7"/>
  <c r="U24" i="7"/>
  <c r="F43" i="7" l="1"/>
  <c r="G42" i="7" s="1"/>
  <c r="I25" i="7"/>
  <c r="H26" i="7"/>
  <c r="L26" i="7"/>
  <c r="M25" i="7" s="1"/>
  <c r="R26" i="7"/>
  <c r="S25" i="7" s="1"/>
  <c r="E25" i="7"/>
  <c r="D26" i="7"/>
  <c r="T26" i="7"/>
  <c r="K25" i="7"/>
  <c r="J26" i="7"/>
  <c r="M24" i="7"/>
  <c r="S24" i="7"/>
  <c r="Q39" i="7"/>
  <c r="P41" i="7"/>
  <c r="Q38" i="7"/>
  <c r="Q40" i="7"/>
  <c r="E24" i="7"/>
  <c r="N28" i="7"/>
  <c r="O26" i="7"/>
  <c r="U25" i="7"/>
  <c r="H28" i="7" l="1"/>
  <c r="T28" i="7"/>
  <c r="R28" i="7"/>
  <c r="O27" i="7"/>
  <c r="N40" i="7"/>
  <c r="P42" i="7"/>
  <c r="Q41" i="7"/>
  <c r="J28" i="7"/>
  <c r="K26" i="7"/>
  <c r="D28" i="7"/>
  <c r="E26" i="7"/>
  <c r="L28" i="7"/>
  <c r="M26" i="7" s="1"/>
  <c r="F44" i="7"/>
  <c r="G43" i="7"/>
  <c r="U26" i="7"/>
  <c r="O38" i="7" l="1"/>
  <c r="N41" i="7"/>
  <c r="O40" i="7" s="1"/>
  <c r="O39" i="7"/>
  <c r="S27" i="7"/>
  <c r="R40" i="7"/>
  <c r="H40" i="7"/>
  <c r="I27" i="7"/>
  <c r="I28" i="7"/>
  <c r="K27" i="7"/>
  <c r="J40" i="7"/>
  <c r="K28" i="7"/>
  <c r="O28" i="7"/>
  <c r="T40" i="7"/>
  <c r="U27" i="7"/>
  <c r="F45" i="7"/>
  <c r="G44" i="7" s="1"/>
  <c r="E27" i="7"/>
  <c r="D40" i="7"/>
  <c r="E28" i="7" s="1"/>
  <c r="P43" i="7"/>
  <c r="Q42" i="7" s="1"/>
  <c r="S26" i="7"/>
  <c r="I26" i="7"/>
  <c r="M27" i="7"/>
  <c r="L40" i="7"/>
  <c r="M28" i="7"/>
  <c r="U28" i="7"/>
  <c r="M39" i="7" l="1"/>
  <c r="L41" i="7"/>
  <c r="M40" i="7" s="1"/>
  <c r="M38" i="7"/>
  <c r="K38" i="7"/>
  <c r="K40" i="7"/>
  <c r="K39" i="7"/>
  <c r="J41" i="7"/>
  <c r="H41" i="7"/>
  <c r="I39" i="7"/>
  <c r="I38" i="7"/>
  <c r="P44" i="7"/>
  <c r="U39" i="7"/>
  <c r="T41" i="7"/>
  <c r="U38" i="7"/>
  <c r="S39" i="7"/>
  <c r="R41" i="7"/>
  <c r="S38" i="7"/>
  <c r="E39" i="7"/>
  <c r="E38" i="7"/>
  <c r="D41" i="7"/>
  <c r="E40" i="7"/>
  <c r="F46" i="7"/>
  <c r="N42" i="7"/>
  <c r="O41" i="7"/>
  <c r="S28" i="7"/>
  <c r="U40" i="7"/>
  <c r="F47" i="7" l="1"/>
  <c r="D42" i="7"/>
  <c r="E41" i="7" s="1"/>
  <c r="S41" i="7"/>
  <c r="R42" i="7"/>
  <c r="T42" i="7"/>
  <c r="P45" i="7"/>
  <c r="Q44" i="7" s="1"/>
  <c r="I41" i="7"/>
  <c r="H42" i="7"/>
  <c r="G45" i="7"/>
  <c r="S40" i="7"/>
  <c r="I40" i="7"/>
  <c r="J42" i="7"/>
  <c r="K41" i="7"/>
  <c r="Q43" i="7"/>
  <c r="L42" i="7"/>
  <c r="M41" i="7" s="1"/>
  <c r="N43" i="7"/>
  <c r="O42" i="7"/>
  <c r="U41" i="7"/>
  <c r="F48" i="7" l="1"/>
  <c r="K42" i="7"/>
  <c r="J43" i="7"/>
  <c r="I42" i="7"/>
  <c r="H43" i="7"/>
  <c r="T43" i="7"/>
  <c r="L43" i="7"/>
  <c r="M42" i="7" s="1"/>
  <c r="E42" i="7"/>
  <c r="D43" i="7"/>
  <c r="S42" i="7"/>
  <c r="R43" i="7"/>
  <c r="G46" i="7"/>
  <c r="N44" i="7"/>
  <c r="P46" i="7"/>
  <c r="Q45" i="7"/>
  <c r="U42" i="7"/>
  <c r="O44" i="7" l="1"/>
  <c r="N45" i="7"/>
  <c r="F49" i="7"/>
  <c r="G48" i="7" s="1"/>
  <c r="O43" i="7"/>
  <c r="D44" i="7"/>
  <c r="T44" i="7"/>
  <c r="J44" i="7"/>
  <c r="K43" i="7"/>
  <c r="P47" i="7"/>
  <c r="Q46" i="7"/>
  <c r="R44" i="7"/>
  <c r="S43" i="7"/>
  <c r="H44" i="7"/>
  <c r="G47" i="7"/>
  <c r="L44" i="7"/>
  <c r="M43" i="7" s="1"/>
  <c r="U43" i="7"/>
  <c r="H45" i="7" l="1"/>
  <c r="I43" i="7"/>
  <c r="P48" i="7"/>
  <c r="Q47" i="7"/>
  <c r="D45" i="7"/>
  <c r="E44" i="7"/>
  <c r="F50" i="7"/>
  <c r="G49" i="7"/>
  <c r="T45" i="7"/>
  <c r="L45" i="7"/>
  <c r="M44" i="7"/>
  <c r="R45" i="7"/>
  <c r="S44" i="7"/>
  <c r="J45" i="7"/>
  <c r="E43" i="7"/>
  <c r="N46" i="7"/>
  <c r="O45" i="7" s="1"/>
  <c r="U44" i="7"/>
  <c r="J46" i="7" l="1"/>
  <c r="K45" i="7" s="1"/>
  <c r="I45" i="7"/>
  <c r="H46" i="7"/>
  <c r="K44" i="7"/>
  <c r="L46" i="7"/>
  <c r="M45" i="7"/>
  <c r="F51" i="7"/>
  <c r="G50" i="7"/>
  <c r="P49" i="7"/>
  <c r="Q48" i="7"/>
  <c r="N47" i="7"/>
  <c r="R46" i="7"/>
  <c r="T46" i="7"/>
  <c r="D46" i="7"/>
  <c r="I44" i="7"/>
  <c r="D47" i="7" l="1"/>
  <c r="R47" i="7"/>
  <c r="S46" i="7" s="1"/>
  <c r="T47" i="7"/>
  <c r="O47" i="7"/>
  <c r="N48" i="7"/>
  <c r="O46" i="7"/>
  <c r="F52" i="7"/>
  <c r="G51" i="7" s="1"/>
  <c r="H47" i="7"/>
  <c r="E45" i="7"/>
  <c r="S45" i="7"/>
  <c r="P50" i="7"/>
  <c r="Q49" i="7"/>
  <c r="L47" i="7"/>
  <c r="M46" i="7" s="1"/>
  <c r="J47" i="7"/>
  <c r="K46" i="7"/>
  <c r="U45" i="7"/>
  <c r="O48" i="7" l="1"/>
  <c r="N49" i="7"/>
  <c r="F53" i="7"/>
  <c r="G52" i="7" s="1"/>
  <c r="R48" i="7"/>
  <c r="S47" i="7" s="1"/>
  <c r="T48" i="7"/>
  <c r="E47" i="7"/>
  <c r="D48" i="7"/>
  <c r="L48" i="7"/>
  <c r="M47" i="7" s="1"/>
  <c r="I47" i="7"/>
  <c r="H48" i="7"/>
  <c r="J48" i="7"/>
  <c r="K47" i="7" s="1"/>
  <c r="P51" i="7"/>
  <c r="I46" i="7"/>
  <c r="E46" i="7"/>
  <c r="U46" i="7"/>
  <c r="U47" i="7"/>
  <c r="T49" i="7" l="1"/>
  <c r="P52" i="7"/>
  <c r="Q51" i="7" s="1"/>
  <c r="K48" i="7"/>
  <c r="J49" i="7"/>
  <c r="M48" i="7"/>
  <c r="L49" i="7"/>
  <c r="G53" i="7"/>
  <c r="F54" i="7"/>
  <c r="Q50" i="7"/>
  <c r="H49" i="7"/>
  <c r="I48" i="7" s="1"/>
  <c r="D49" i="7"/>
  <c r="E48" i="7" s="1"/>
  <c r="N50" i="7"/>
  <c r="O49" i="7"/>
  <c r="R49" i="7"/>
  <c r="S48" i="7"/>
  <c r="U48" i="7"/>
  <c r="N51" i="7" l="1"/>
  <c r="L50" i="7"/>
  <c r="M49" i="7" s="1"/>
  <c r="P53" i="7"/>
  <c r="R50" i="7"/>
  <c r="S49" i="7" s="1"/>
  <c r="F55" i="7"/>
  <c r="K49" i="7"/>
  <c r="J50" i="7"/>
  <c r="T50" i="7"/>
  <c r="E49" i="7"/>
  <c r="D50" i="7"/>
  <c r="I49" i="7"/>
  <c r="H50" i="7"/>
  <c r="T51" i="7" l="1"/>
  <c r="F56" i="7"/>
  <c r="G56" i="7" s="1"/>
  <c r="P54" i="7"/>
  <c r="Q53" i="7"/>
  <c r="N52" i="7"/>
  <c r="O51" i="7"/>
  <c r="D51" i="7"/>
  <c r="J51" i="7"/>
  <c r="R51" i="7"/>
  <c r="S50" i="7"/>
  <c r="L51" i="7"/>
  <c r="M50" i="7"/>
  <c r="H51" i="7"/>
  <c r="G54" i="7"/>
  <c r="Q52" i="7"/>
  <c r="O50" i="7"/>
  <c r="U49" i="7"/>
  <c r="K51" i="7" l="1"/>
  <c r="J52" i="7"/>
  <c r="L52" i="7"/>
  <c r="M51" i="7" s="1"/>
  <c r="K50" i="7"/>
  <c r="N53" i="7"/>
  <c r="O52" i="7"/>
  <c r="G55" i="7"/>
  <c r="I51" i="7"/>
  <c r="H52" i="7"/>
  <c r="E51" i="7"/>
  <c r="D52" i="7"/>
  <c r="T52" i="7"/>
  <c r="I50" i="7"/>
  <c r="R52" i="7"/>
  <c r="S51" i="7"/>
  <c r="E50" i="7"/>
  <c r="P55" i="7"/>
  <c r="U50" i="7"/>
  <c r="U51" i="7"/>
  <c r="P56" i="7" l="1"/>
  <c r="Q56" i="7" s="1"/>
  <c r="Q54" i="7"/>
  <c r="R53" i="7"/>
  <c r="S52" i="7"/>
  <c r="D53" i="7"/>
  <c r="L53" i="7"/>
  <c r="M52" i="7"/>
  <c r="T53" i="7"/>
  <c r="H53" i="7"/>
  <c r="N54" i="7"/>
  <c r="J53" i="7"/>
  <c r="K52" i="7"/>
  <c r="I53" i="7" l="1"/>
  <c r="H54" i="7"/>
  <c r="K53" i="7"/>
  <c r="J54" i="7"/>
  <c r="I52" i="7"/>
  <c r="L54" i="7"/>
  <c r="R54" i="7"/>
  <c r="S53" i="7"/>
  <c r="N55" i="7"/>
  <c r="O54" i="7"/>
  <c r="T54" i="7"/>
  <c r="D54" i="7"/>
  <c r="O53" i="7"/>
  <c r="E52" i="7"/>
  <c r="Q55" i="7"/>
  <c r="U52" i="7"/>
  <c r="U53" i="7"/>
  <c r="T55" i="7" l="1"/>
  <c r="S54" i="7"/>
  <c r="R55" i="7"/>
  <c r="J55" i="7"/>
  <c r="K54" i="7" s="1"/>
  <c r="E54" i="7"/>
  <c r="D55" i="7"/>
  <c r="L55" i="7"/>
  <c r="M54" i="7" s="1"/>
  <c r="E53" i="7"/>
  <c r="N56" i="7"/>
  <c r="O56" i="7" s="1"/>
  <c r="O55" i="7"/>
  <c r="M53" i="7"/>
  <c r="H55" i="7"/>
  <c r="I54" i="7" s="1"/>
  <c r="U54" i="7"/>
  <c r="D56" i="7" l="1"/>
  <c r="E56" i="7" s="1"/>
  <c r="R56" i="7"/>
  <c r="S56" i="7" s="1"/>
  <c r="S55" i="7"/>
  <c r="T56" i="7"/>
  <c r="H56" i="7"/>
  <c r="I56" i="7" s="1"/>
  <c r="I55" i="7"/>
  <c r="L56" i="7"/>
  <c r="M56" i="7" s="1"/>
  <c r="J56" i="7"/>
  <c r="K56" i="7" s="1"/>
  <c r="K55" i="7"/>
  <c r="U55" i="7"/>
  <c r="U56" i="7"/>
  <c r="M55" i="7" l="1"/>
  <c r="E5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<sst xmlns="http://schemas.openxmlformats.org/spreadsheetml/2006/main" count="3941" uniqueCount="791">
  <si>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</si>
  <si>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</si>
  <si>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</si>
  <si>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</si>
  <si>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</si>
  <si>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</si>
  <si>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</si>
  <si>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</si>
  <si>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</si>
  <si>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</si>
  <si>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</si>
  <si>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</si>
  <si>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</si>
  <si>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</si>
  <si>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</si>
  <si>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</si>
  <si>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</si>
  <si>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</si>
  <si>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</si>
  <si>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</si>
  <si>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</si>
  <si>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</si>
  <si>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</si>
  <si>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</si>
  <si>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</si>
  <si>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</si>
  <si>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</si>
  <si>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</si>
  <si>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</si>
  <si>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</si>
  <si>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</si>
  <si>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</si>
  <si>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</si>
  <si>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</si>
  <si>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</si>
  <si>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</si>
  <si>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</si>
  <si>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</si>
  <si>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</si>
  <si>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</si>
  <si>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</si>
  <si>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</si>
  <si>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</si>
  <si>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</si>
  <si>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</si>
  <si>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</si>
  <si>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</si>
  <si>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</si>
  <si>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</si>
  <si>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</si>
  <si>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</si>
  <si>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</si>
  <si>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</si>
  <si>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</si>
  <si>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</si>
  <si>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</si>
  <si>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</si>
  <si>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</si>
  <si>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</si>
  <si>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</si>
  <si>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</si>
  <si>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</si>
  <si>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</si>
  <si>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</si>
  <si>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</si>
  <si>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</si>
  <si>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</si>
  <si>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</si>
  <si>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</si>
  <si>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</si>
  <si>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</si>
  <si>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</si>
  <si>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</si>
  <si>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</si>
  <si>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</si>
  <si>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</si>
  <si>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</si>
  <si>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</si>
  <si>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</si>
  <si>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</si>
  <si>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</si>
  <si>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</si>
  <si>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</si>
  <si>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</si>
  <si>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</si>
  <si>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</si>
  <si>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</si>
  <si>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</si>
  <si>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</si>
  <si>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</si>
  <si>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</si>
  <si>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</si>
  <si>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</si>
  <si>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</si>
  <si>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</si>
  <si>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</si>
  <si>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</si>
  <si>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</si>
  <si>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</si>
  <si>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</si>
  <si>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</si>
  <si>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</si>
  <si>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</si>
  <si>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</si>
  <si>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</si>
  <si>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</si>
  <si>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</si>
  <si>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</si>
  <si>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</si>
  <si>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</si>
  <si>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</si>
  <si>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</si>
  <si>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</si>
  <si>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</si>
  <si>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</si>
  <si>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</si>
  <si>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</si>
  <si>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</si>
  <si>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</si>
  <si>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</si>
  <si>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</si>
  <si>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</si>
  <si>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</si>
  <si>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</si>
  <si>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</si>
  <si>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</si>
  <si>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</si>
  <si>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</si>
  <si>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</si>
  <si>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</si>
  <si>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</si>
  <si>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</si>
  <si>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</si>
  <si>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</si>
  <si>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</si>
  <si>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</si>
  <si>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</si>
  <si>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</si>
  <si>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</si>
  <si>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</si>
  <si>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</si>
  <si>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</si>
  <si>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</si>
  <si>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</si>
  <si>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</si>
  <si>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</si>
  <si>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</si>
  <si>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</si>
  <si>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</si>
  <si>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</si>
  <si>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</si>
  <si>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</si>
  <si>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</si>
  <si>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</si>
  <si>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</si>
  <si>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</si>
  <si>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</si>
  <si>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</si>
  <si>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</si>
  <si>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</si>
  <si>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</si>
  <si>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</si>
  <si>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</si>
  <si>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</si>
  <si>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</si>
  <si>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</si>
  <si>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</si>
  <si>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</si>
  <si>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</si>
  <si>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</si>
  <si>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</si>
  <si>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</si>
  <si>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</si>
  <si>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</si>
  <si>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</si>
  <si>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Código</t>
  </si>
  <si>
    <t>Relación</t>
  </si>
  <si>
    <t>Categoría</t>
  </si>
  <si>
    <t>Start
Time</t>
  </si>
  <si>
    <t>End
Time</t>
  </si>
  <si>
    <t>Duración
(meses)</t>
  </si>
  <si>
    <t>Nombre
Iniciativa</t>
  </si>
  <si>
    <t>L3</t>
  </si>
  <si>
    <t>Solutec</t>
  </si>
  <si>
    <t>show</t>
  </si>
  <si>
    <t>Centros Extensionismo</t>
  </si>
  <si>
    <t>FEDEFRUTA</t>
  </si>
  <si>
    <t>Happy Plum</t>
  </si>
  <si>
    <t>L1</t>
  </si>
  <si>
    <t>Team Foods</t>
  </si>
  <si>
    <t>Nueces del Choapa</t>
  </si>
  <si>
    <t>Lacteos Los Puquios</t>
  </si>
  <si>
    <t>Gourmet Ltda</t>
  </si>
  <si>
    <t>I+D Empresarial FIA</t>
  </si>
  <si>
    <t>C. JC Sleman A.</t>
  </si>
  <si>
    <t>CASOL</t>
  </si>
  <si>
    <t>L2</t>
  </si>
  <si>
    <t>DICTUC</t>
  </si>
  <si>
    <t>SPS</t>
  </si>
  <si>
    <t>PDT</t>
  </si>
  <si>
    <t>PUC</t>
  </si>
  <si>
    <t>Quimas</t>
  </si>
  <si>
    <t>Laboratorio Movil</t>
  </si>
  <si>
    <t>Sopraval</t>
  </si>
  <si>
    <t>Surfrut</t>
  </si>
  <si>
    <t>FcuatroF</t>
  </si>
  <si>
    <t>Viña Santa Rita</t>
  </si>
  <si>
    <t>UConcepción</t>
  </si>
  <si>
    <t>Milanese</t>
  </si>
  <si>
    <t>Centros Tecnológicos</t>
  </si>
  <si>
    <t>CETA</t>
  </si>
  <si>
    <t>Aiguasol</t>
  </si>
  <si>
    <t>CCF</t>
  </si>
  <si>
    <t>Granotec</t>
  </si>
  <si>
    <t>Programas Tecnológicos</t>
  </si>
  <si>
    <t>IFAN</t>
  </si>
  <si>
    <t>INCuBA</t>
  </si>
  <si>
    <t>SUNENERGREEN</t>
  </si>
  <si>
    <t>UBIOBIO</t>
  </si>
  <si>
    <t>Bioingemar</t>
  </si>
  <si>
    <t>CREAS</t>
  </si>
  <si>
    <t>ECOTERRA</t>
  </si>
  <si>
    <t>ACHIPIA</t>
  </si>
  <si>
    <t>EstándarNC</t>
  </si>
  <si>
    <t>ContaQuim</t>
  </si>
  <si>
    <t>RanchoAzul</t>
  </si>
  <si>
    <t>EstándarAF</t>
  </si>
  <si>
    <t>ASEMAFOR</t>
  </si>
  <si>
    <t>UFRO</t>
  </si>
  <si>
    <t>SouthHemp</t>
  </si>
  <si>
    <t>LofKumikir</t>
  </si>
  <si>
    <t>AChoapa</t>
  </si>
  <si>
    <t>SNILabsAS</t>
  </si>
  <si>
    <t>UTMetropolitana</t>
  </si>
  <si>
    <t>USACH</t>
  </si>
  <si>
    <t>CHILENUT</t>
  </si>
  <si>
    <t>Comercial CJ</t>
  </si>
  <si>
    <t>Epullen</t>
  </si>
  <si>
    <t>CO-INVENTA</t>
  </si>
  <si>
    <t>Robinson Crusoe</t>
  </si>
  <si>
    <t>ChacabucoInv</t>
  </si>
  <si>
    <t>Ecocrea</t>
  </si>
  <si>
    <t>TribusFungi</t>
  </si>
  <si>
    <t>AcuaFood</t>
  </si>
  <si>
    <t>15CET2-46940</t>
  </si>
  <si>
    <t>INIA</t>
  </si>
  <si>
    <t>UTALCA</t>
  </si>
  <si>
    <t>Frusexta</t>
  </si>
  <si>
    <t>CDT Agroindustrial UConce</t>
  </si>
  <si>
    <t>FI Agrícola UConce</t>
  </si>
  <si>
    <t>Chilealimentos</t>
  </si>
  <si>
    <t>Gesproinnova</t>
  </si>
  <si>
    <t>Fundación Chile</t>
  </si>
  <si>
    <t>UCDavis</t>
  </si>
  <si>
    <t>Fraunhofer Chile</t>
  </si>
  <si>
    <t>Härting</t>
  </si>
  <si>
    <t>AB Chile</t>
  </si>
  <si>
    <t>UCHILE</t>
  </si>
  <si>
    <t>Dueik</t>
  </si>
  <si>
    <t>UTFSM</t>
  </si>
  <si>
    <t>CEAP</t>
  </si>
  <si>
    <t>AIMPLAS</t>
  </si>
  <si>
    <t>Leitat Chile</t>
  </si>
  <si>
    <t>ULosAndes</t>
  </si>
  <si>
    <t>IFI</t>
  </si>
  <si>
    <t>IFI-Frutícola</t>
  </si>
  <si>
    <t>IFI-Cero Pérdidas</t>
  </si>
  <si>
    <t>AG Industriales Plástico</t>
  </si>
  <si>
    <t>Samfood</t>
  </si>
  <si>
    <t>IslaNatura</t>
  </si>
  <si>
    <t>Achoapa</t>
  </si>
  <si>
    <t>CleanEnergy</t>
  </si>
  <si>
    <t>Gelymar</t>
  </si>
  <si>
    <t>Watts</t>
  </si>
  <si>
    <t>PigmentosNaturales</t>
  </si>
  <si>
    <t>ChileBotanics</t>
  </si>
  <si>
    <t>UMagallanes</t>
  </si>
  <si>
    <t>UAndrésBello</t>
  </si>
  <si>
    <t>Quillayes</t>
  </si>
  <si>
    <t>PF</t>
  </si>
  <si>
    <t>Prinal</t>
  </si>
  <si>
    <t>FrutiCentroNorte</t>
  </si>
  <si>
    <t>Biofrutales</t>
  </si>
  <si>
    <t>PUCV</t>
  </si>
  <si>
    <t>FrutiCentroSur</t>
  </si>
  <si>
    <t>FDF</t>
  </si>
  <si>
    <t>CTIHortofrutícola</t>
  </si>
  <si>
    <t>FrutiSur</t>
  </si>
  <si>
    <t>Copefrut</t>
  </si>
  <si>
    <t>UAustral</t>
  </si>
  <si>
    <t>CEAF</t>
  </si>
  <si>
    <t>SAG</t>
  </si>
  <si>
    <t>Luisa Maria</t>
  </si>
  <si>
    <t>CT Agrícola Lda</t>
  </si>
  <si>
    <t>Jaime Taladriz Canseco</t>
  </si>
  <si>
    <t>José Antonio Galilea Vidaurre</t>
  </si>
  <si>
    <t>SNILabsAS-CTS</t>
  </si>
  <si>
    <t>MINSAL</t>
  </si>
  <si>
    <t>ISP</t>
  </si>
  <si>
    <t>SERNAPESCA</t>
  </si>
  <si>
    <t>INN</t>
  </si>
  <si>
    <t>FAVET-UCHILE</t>
  </si>
  <si>
    <t>ContaQuim-CTS</t>
  </si>
  <si>
    <t>INDAP</t>
  </si>
  <si>
    <t>PEROHiggins</t>
  </si>
  <si>
    <t>UNAF</t>
  </si>
  <si>
    <t>AFIPA</t>
  </si>
  <si>
    <t>ANVET</t>
  </si>
  <si>
    <t>RedApicola</t>
  </si>
  <si>
    <t>Consorcio Lechero</t>
  </si>
  <si>
    <t>CET Hortícola UChile</t>
  </si>
  <si>
    <t>INTA</t>
  </si>
  <si>
    <t>EstándarNC-CTS</t>
  </si>
  <si>
    <t>CPL</t>
  </si>
  <si>
    <t>Subsecretaría Economía</t>
  </si>
  <si>
    <t>SERCOTEC</t>
  </si>
  <si>
    <t>FIA</t>
  </si>
  <si>
    <t>PERLosRíos</t>
  </si>
  <si>
    <t>ANIC</t>
  </si>
  <si>
    <t>APROLECHE</t>
  </si>
  <si>
    <t>SOCHITAL</t>
  </si>
  <si>
    <t>CAPCHICAL</t>
  </si>
  <si>
    <t>EstándarAF-CTS</t>
  </si>
  <si>
    <t>PERMaule</t>
  </si>
  <si>
    <t>ALIMSA</t>
  </si>
  <si>
    <t>NativeFood</t>
  </si>
  <si>
    <t>AGRICOVIAL</t>
  </si>
  <si>
    <t>GoodFood4U</t>
  </si>
  <si>
    <t>FMed-UCHILE</t>
  </si>
  <si>
    <t>Ecotierra</t>
  </si>
  <si>
    <t>F Min Los Pelambres </t>
  </si>
  <si>
    <t>Biofresco</t>
  </si>
  <si>
    <t>R2B Catalyst</t>
  </si>
  <si>
    <t>GMTFOODS</t>
  </si>
  <si>
    <t>HICAR</t>
  </si>
  <si>
    <t>DonQueco</t>
  </si>
  <si>
    <t>CecinasLoncoche</t>
  </si>
  <si>
    <t>Papas Arcoiris</t>
  </si>
  <si>
    <t>SocGenSemPapas</t>
  </si>
  <si>
    <t>Novaseed</t>
  </si>
  <si>
    <t>Manki</t>
  </si>
  <si>
    <t>ForestalArauco</t>
  </si>
  <si>
    <t>CRRecolectoresVIII</t>
  </si>
  <si>
    <t>TAccionCultural</t>
  </si>
  <si>
    <t>Fco Fuentes C.</t>
  </si>
  <si>
    <t>MINAGRI</t>
  </si>
  <si>
    <t>TA-CE</t>
  </si>
  <si>
    <t>255, 128, 0</t>
  </si>
  <si>
    <t>CORFO</t>
  </si>
  <si>
    <t>UCENTRAL</t>
  </si>
  <si>
    <t>ODEPA</t>
  </si>
  <si>
    <t>GDC</t>
  </si>
  <si>
    <t>TA-Fruti</t>
  </si>
  <si>
    <t>ASOEX</t>
  </si>
  <si>
    <t>Hortifrut</t>
  </si>
  <si>
    <t>APÑuble</t>
  </si>
  <si>
    <t>Fruséptima</t>
  </si>
  <si>
    <t>TA-Process</t>
  </si>
  <si>
    <t>Carozzi</t>
  </si>
  <si>
    <t>Contexto Ciudadano</t>
  </si>
  <si>
    <t>División Políticas Públicas MINSAL</t>
  </si>
  <si>
    <t>Nutrapharm</t>
  </si>
  <si>
    <t>SONAPESCA</t>
  </si>
  <si>
    <t>Subdirección Innovación UCHILE</t>
  </si>
  <si>
    <t>SUBPESCA</t>
  </si>
  <si>
    <t>TA-VIP</t>
  </si>
  <si>
    <t>MINECON</t>
  </si>
  <si>
    <t>CONICYT</t>
  </si>
  <si>
    <t>Gob Reg Maule</t>
  </si>
  <si>
    <t>UCMAULE</t>
  </si>
  <si>
    <t>Sugal</t>
  </si>
  <si>
    <t>INIA - Raihuén</t>
  </si>
  <si>
    <t>COPEVAL</t>
  </si>
  <si>
    <t>TA</t>
  </si>
  <si>
    <t>Innova</t>
  </si>
  <si>
    <t>GCT</t>
  </si>
  <si>
    <t>PIA+S</t>
  </si>
  <si>
    <t>Gob Reg Valparaíso</t>
  </si>
  <si>
    <t>UV</t>
  </si>
  <si>
    <t>INIA - La Cruz</t>
  </si>
  <si>
    <t>PolosTerritoriales</t>
  </si>
  <si>
    <t>Nodo</t>
  </si>
  <si>
    <t>Apoyo Proyectos Inversion Tecnológica</t>
  </si>
  <si>
    <t>Apoyo Proyectos Estratégicos</t>
  </si>
  <si>
    <t>I+D Empresarial</t>
  </si>
  <si>
    <t>INIA - Quilamapu</t>
  </si>
  <si>
    <t>Bienes Públicos</t>
  </si>
  <si>
    <t>ProgDifTec</t>
  </si>
  <si>
    <t>P Fortalecimiento Capacidades</t>
  </si>
  <si>
    <t>SEREMI MINAGRI BIOBIO</t>
  </si>
  <si>
    <t>PROCHILE</t>
  </si>
  <si>
    <t>INVESTCHILE</t>
  </si>
  <si>
    <t>MINEDUC</t>
  </si>
  <si>
    <t>PPT</t>
  </si>
  <si>
    <t>eCERT</t>
  </si>
  <si>
    <t>Sub Redes Asistenciales MINSAL</t>
  </si>
  <si>
    <t>Subsecretaría Agricultura</t>
  </si>
  <si>
    <t>16CONTEC-64835</t>
  </si>
  <si>
    <t xml:space="preserve"> Desarrollo de ingredientes funcionales para la formulación de alimentos horneados saludables</t>
  </si>
  <si>
    <t>Centro De Extensionismo Tecnológico Para Fortalecer La Competitividad De La Industria De Alimentos Procesados.</t>
  </si>
  <si>
    <t>15CONTEC-47649</t>
  </si>
  <si>
    <t>Desarrollo De Mejorados Y Nuevos Productos Nutracéuticos  De Alto Valor Agregado A Base De Ciruelas</t>
  </si>
  <si>
    <t>15L1FPE-47981</t>
  </si>
  <si>
    <t>Desarrollo De Nuevo Ingrediente Funcional De Bajo Aporte Calórico En Base A Compuesto Natural</t>
  </si>
  <si>
    <t>15CONTEC-47988</t>
  </si>
  <si>
    <t>Desarrollo de Nuevos Productos Nutracéuticos Basados en Principios Bioactivos de Nueces Chilenas y sus Subproductos</t>
  </si>
  <si>
    <t>15L1FPE-47637</t>
  </si>
  <si>
    <t>Desarrollo de Prototipo de Bebida Funcional Simbiótica Dirigida al Adulto Mayor</t>
  </si>
  <si>
    <t>15L1FPE-48028</t>
  </si>
  <si>
    <t>Desarrollo de yogurt vegetal basado en desechos de la producción de almendras.</t>
  </si>
  <si>
    <t>PYT-2016-0016</t>
  </si>
  <si>
    <t>Desarrollo y comercialización de aguas lluvia funcionalizadas con berries nativos</t>
  </si>
  <si>
    <t>16L1FPE-64905</t>
  </si>
  <si>
    <t>Diseño y desarrollo de plásticos biodegradables a partir de mezclas de macroalgas y microalgas de las costas chilenas, para uso en la industria agroalimentaria.</t>
  </si>
  <si>
    <t>15VEIPE-48042</t>
  </si>
  <si>
    <t>Escalamiento y automatización de proceso de producción de hojuelas de vegetales saludables</t>
  </si>
  <si>
    <t>15L1FPE-47997</t>
  </si>
  <si>
    <t>Fracciones de quínoa para abastecer de nuevos insumos proteicos a la industria alimentaria.</t>
  </si>
  <si>
    <t>15PDTD-46542</t>
  </si>
  <si>
    <t>Ingeniería Gastronómica Para La Innovación En Alimentos</t>
  </si>
  <si>
    <t>15VEIPE-47958</t>
  </si>
  <si>
    <t>Nuevos embalajes activos que integran tecnologías de poscosecha, para la preservación de frutas frescas</t>
  </si>
  <si>
    <t>15VEIPE-48016</t>
  </si>
  <si>
    <t>Recuperador de Aromas: Validación Tecnológica y Enológica-Comercial</t>
  </si>
  <si>
    <t>16CONTEC-64850</t>
  </si>
  <si>
    <t>Sistema avanzado de monitoreo en tiempo real para el análisis de parámetros en estanques de vinificación</t>
  </si>
  <si>
    <t>15CONTEC-47956</t>
  </si>
  <si>
    <t>Sistema de Monitoreo y Control de Olores de Efluentes Gaseosos Tratados por Sistemas Biológicos</t>
  </si>
  <si>
    <t>16VEIPE-65080</t>
  </si>
  <si>
    <t xml:space="preserve">Validación y empaquetamiento de un nuevo producto denominado Puffing; trozos crocantes de frutas y hortalizas para el mercado nacional e internacional de los snack e ingredientes saludables.   </t>
  </si>
  <si>
    <t>16CONTEC-64860</t>
  </si>
  <si>
    <t>Valorización de residuos agroindustriales mediante el cultivo de la mosca soldado negro (Hermetia illucens), utilizando protocolos sustentables de estabilización de residuos.</t>
  </si>
  <si>
    <t>15CONTEC-48011</t>
  </si>
  <si>
    <t>Valorización del orujo de uva para el desarrollo de ingredientes de alto valor</t>
  </si>
  <si>
    <t>PYT-2016-0689</t>
  </si>
  <si>
    <t>Agregación De Valor A Frutos Recolectados De Rosa Mosqueta A Partir De La Creación De Grageas Comestibles Con Propiedades Funcionales Para La Incorporación De Un Eje Competitivo Que Favorece El Desarrollo De La Coordinadora Regional De Recolectoras Y Recolectores Del Bío Bío</t>
  </si>
  <si>
    <t>PYT-2016-0648</t>
  </si>
  <si>
    <t>Aprovechamiento Del Residuo Del Proceso De Vinificación De Vaccinium Pyttillus (Arándanos) Y De Los Subproductos En La Elaboración De Arroz (Arroz Grado 3, Arroz Sopa, Punta De Arroz Y Harinilla), Para La Generación De Productos Alimenticios Funcionales</t>
  </si>
  <si>
    <t>15CTAL-46759</t>
  </si>
  <si>
    <t>Centro Tecnológico para la Innovación Alimentaria CETA</t>
  </si>
  <si>
    <t>16L1FPE-67414</t>
  </si>
  <si>
    <t>Chilledbin: Optimizador De Temperatura Y Humedad Autónomo Solar Para Frutas En Etapa De Postcosecha</t>
  </si>
  <si>
    <t>Consorcio de Cereales Funcionales</t>
  </si>
  <si>
    <t>16PTECAI-66648</t>
  </si>
  <si>
    <t>Consorcio IFAN -Desarrollo Sinérgico de Ingredientes Funcionales y Aditivos Naturales</t>
  </si>
  <si>
    <t>16CONTEC-67380</t>
  </si>
  <si>
    <t>Desarrollo De Envases Activos Fungicidas Con Cobre Para Disminuir La Proliferación De Hongos En Frutas De Exportación</t>
  </si>
  <si>
    <t>16CONTEC-67391</t>
  </si>
  <si>
    <t>Desarrollo De Nueva Alternativa De Refrigeración Sustentable Para El Proceso  De Poscosecha De Frutas Y Hortalizas, Utilizando Un Sistema Integrado Por Pcm  (Phase Change Material) Adherido A Un Sistema Fotovoltaico.</t>
  </si>
  <si>
    <t>PYT-2016-0649</t>
  </si>
  <si>
    <t>Desarrollo De Productos Cárnicos Listos Para Consumir Reducidos En Sodio Mediante El Uso Combinado De Tecnologías Innovadoras: Reformulación De Ingredientes Y Altas Presiones Hidrostáticas. </t>
  </si>
  <si>
    <t>PYT-2016-0562</t>
  </si>
  <si>
    <t>Desarrollo De Tecnología Para La Obtención Del Ingrediente Funcional  Betaglucano Desde Avena</t>
  </si>
  <si>
    <t>PYT-2016-0686</t>
  </si>
  <si>
    <t>Desarrollo De Un Pate Vegetal A Base De Quinoa Y Amaranto: Un Aporte Al Comercio Justo Y A La Sustentabilidad Agrícola De Los Valles De La Región De Valparaíso</t>
  </si>
  <si>
    <t>PYT-2016-0159</t>
  </si>
  <si>
    <t>Desarrollo y validación de Ovoproductos nutracéuticos a partir de huevos Free Range producidos bajo el sistema de comercio justo asociativo con pequeños productores para el mercado nacional e internacional</t>
  </si>
  <si>
    <t>688535-8-LQ16</t>
  </si>
  <si>
    <t>Diseño e implementación de estándares para la disminución programa de nutrientes críticos en las Mipymes alimentarias</t>
  </si>
  <si>
    <t>688535-7-LQ16</t>
  </si>
  <si>
    <t>Diseño e implementación de un Plan Nacional de Cierre de Brechas de Contaminantes Químicos (Agroquímicos, residuos medicamentos veterinarios, otros) en Productos Primarios</t>
  </si>
  <si>
    <t>16CONTEC-67400</t>
  </si>
  <si>
    <t>Diseño E Implementación De Un Proceso Innovador Para La Obtención De Lumbrokinasa Como Ingrediente Estandarizado De Alimentos Saludables.</t>
  </si>
  <si>
    <t>688535-9-LQ16</t>
  </si>
  <si>
    <t>Diseño e Implementación de un sistema de Gestión para Estándares en AlimentosFuncionales (AF) y Reconocimiento de la Categoría de AF en el Reglamento Sanitario de los Alimentos (RSA)</t>
  </si>
  <si>
    <t>16L1FPE-67378</t>
  </si>
  <si>
    <t>Diseño Y Desarrollo De Un Ingrediente Funcional Especializado De Alto Nivel Proteico A Partir De Amaranto, Algarrobo Y Espino Aptos Para Población Que Padece Intolerancias Y Alergias Alimentarias. </t>
  </si>
  <si>
    <t>PYT-2016-0662</t>
  </si>
  <si>
    <t>Elaboración De Cecinas Artesanales En La Región De La Araucanía Reducidas En Sodio Y Ácidos Grasos Saturados Y Enriquecidas Con Fibra Dietaria Obtenida De Avena</t>
  </si>
  <si>
    <t>16CONTEC-67381</t>
  </si>
  <si>
    <t>Elaboración De Materiales Bioactivos A Partir De Nano-Celulosa De Cáñamo Industrial Funcionalizada Con Moléculas De Cobre Para Su Utilización En El Embalaje De Productos Con Foco En El Sector Agrícola.</t>
  </si>
  <si>
    <t>PYT-2016-0571</t>
  </si>
  <si>
    <t>Encadenamientos Productivo Y Asociativo Saludable Y Sustentable Mawiza Newen</t>
  </si>
  <si>
    <t>PYT-2016-0612</t>
  </si>
  <si>
    <t>Formulación Y Desarrollo De Alimentos Saludables A Base De Miel Con Un Alto Valor Nutricional Y Funcional Usando Técnicas De Gastronomía Molecular, Enfocado A La Población Escolar</t>
  </si>
  <si>
    <t>688535-10-LQ16</t>
  </si>
  <si>
    <t>Implementación de un Sistema Nacional Integrado de Laboratorios Públicos de Alto Estándar especializados para fortalecer las capacidades analíticas y diagnósticas en Calidad e Inocuidad Alimentaria</t>
  </si>
  <si>
    <t>PYT-2016-0614</t>
  </si>
  <si>
    <t>PYT-2016-0614 AM</t>
  </si>
  <si>
    <t>Ingredientes Naturales Funcionales De Alto Valor Agregado A Partir De Subproductos De La Industria Agroindustrial Del Apio.</t>
  </si>
  <si>
    <t>PYT-2016-0559</t>
  </si>
  <si>
    <t>Mejoramiento Sustentable De Las Características Nutricionales Inmuno-Moduladoras Del Huevo Azul Producido Por Comunidades Indígenas Locales Mediante El Uso De De Subproductos Generados Por Actividades Industriales De La Región De Los Lagos</t>
  </si>
  <si>
    <t>PYT-2016-0064</t>
  </si>
  <si>
    <t>Micotoxinas: Diseño y Desarrollo de un Programa Integrado de Monitoreo y Análisis para la calidad e Inocuidad Alimentaria (PRIMACIA) aplicado a frutos secos</t>
  </si>
  <si>
    <t>PYT-2016-0700</t>
  </si>
  <si>
    <t>Molino Cosecha Justa: Elaboración Y Comercialización De Harinas Libre De Gluten Producidas Con Granos De Pequeños Agricultores Nacionales</t>
  </si>
  <si>
    <t>Obtención De Ingredientes Funcionales Mediante Tecnologías Limpias A Partir De Desechos Agroindustriales Para La Formulación De Alimentos Saludables </t>
  </si>
  <si>
    <t>PYT-2016-0674</t>
  </si>
  <si>
    <t>Obtención De Pigmentos De Papas Coloreadas Para Su Uso Como Colorante De Alimentos Procesados</t>
  </si>
  <si>
    <t>PYT-2016-0557</t>
  </si>
  <si>
    <t>Obtención De Un Concentrado De Proteínas Vegetales A Partir De Cereales Y Leguminosas Chilenas De Calidad Nutricional Mejorada Para Consumidores Con Requerimientos Nutricionales Especiales: Suplemento Proteico Para Adicionar A Alimentos</t>
  </si>
  <si>
    <t>16PTECAE-66644</t>
  </si>
  <si>
    <t>Plataforma de Innovación en Envases y Embalajes para Alimentos (CO-INVENTA)</t>
  </si>
  <si>
    <t>PYT-2016-0197</t>
  </si>
  <si>
    <t>Procesamiento y comercialización de ingredientes funcionales a base de berries silvestres a través de la comunidad de mujeres de la Isla Robinson Crusoe</t>
  </si>
  <si>
    <t>16CONTEC-67402</t>
  </si>
  <si>
    <t>Producción De Biomaterial Funcionalizado De Alto Valor Proveniente De Subproductos De La Industria Pesquera Y Acuícola Para Su Uso Potencial En La Industria De Alimentos</t>
  </si>
  <si>
    <t>PYT-2016-0663</t>
  </si>
  <si>
    <t>Propuesta De Valor A Partir De Descartes De La Agroindustria (Pomaza, Orujo, Alperujo), De Fruta Y Hortalizas (Cascara De Kiwi, Colas De Espárragos), De Región Del Maule Para Obtener Ingredientes Funcionales Y/O Aditivos Alimentarios Especializados Para La Industria Alimentaria Y De Suplementos Nutricionales </t>
  </si>
  <si>
    <t>PYT-2016-0624</t>
  </si>
  <si>
    <t>Uso De Fermento De Pseudocereales Y Berries Nacionales Y Para La Elaboración De Alimentos Saludables Y Funcionales De Alto Contenido Proteico</t>
  </si>
  <si>
    <t>16VEIPE-67349</t>
  </si>
  <si>
    <t>Validación Y Empaquetamiento De Un Potenciador De Sabor Natural Y Nutricional En Base A Anchoas Sometidas A Procesos Biotecnológicos Para Ser Utilizado En Preparaciones Alimenticias.</t>
  </si>
  <si>
    <t>15CET2-46940 AM</t>
  </si>
  <si>
    <t>15CET2-46940C</t>
  </si>
  <si>
    <t>15CONTEC-47649C</t>
  </si>
  <si>
    <t>15CONTEC-47988C</t>
  </si>
  <si>
    <t>15CONTEC-48011C</t>
  </si>
  <si>
    <t>15CTAL-46759 A</t>
  </si>
  <si>
    <t>15CTAL-46759 C</t>
  </si>
  <si>
    <t>15VEIPE-48016AM</t>
  </si>
  <si>
    <t>15VEIPE-48042AM</t>
  </si>
  <si>
    <t>16CONTEC-64835C</t>
  </si>
  <si>
    <t>16CONTEC-64850C</t>
  </si>
  <si>
    <t>16CONTEC-64860C</t>
  </si>
  <si>
    <t>16CONTEC-67380 C</t>
  </si>
  <si>
    <t>16CONTEC-67381 C</t>
  </si>
  <si>
    <t>16CONTEC-67391 C</t>
  </si>
  <si>
    <t>16CONTEC-67400 C</t>
  </si>
  <si>
    <t>16CONTEC-67402 C</t>
  </si>
  <si>
    <t>16IFI-66070</t>
  </si>
  <si>
    <t>16IFI-66278</t>
  </si>
  <si>
    <t>16PTECAE-66644 A</t>
  </si>
  <si>
    <t>16PTECAE-66644 C</t>
  </si>
  <si>
    <t>16PTECAE-66644 I</t>
  </si>
  <si>
    <t>16PTECAI-66648 A</t>
  </si>
  <si>
    <t>16PTECAI-66648 C</t>
  </si>
  <si>
    <t>16PTECAI-66648 I</t>
  </si>
  <si>
    <t>16PTECFN-66646</t>
  </si>
  <si>
    <t>16PTECFN-66646 C</t>
  </si>
  <si>
    <t>16PTECFN-66646 I</t>
  </si>
  <si>
    <t>16PTECFS-66641</t>
  </si>
  <si>
    <t>16PTECFS-66641 C</t>
  </si>
  <si>
    <t>16PTECFS-66647</t>
  </si>
  <si>
    <t>16PTECFS-66647 A</t>
  </si>
  <si>
    <t>16PTECFS-66647 C</t>
  </si>
  <si>
    <t>16VEIPE-67349 C</t>
  </si>
  <si>
    <t>688535-10-LQ16-CTS</t>
  </si>
  <si>
    <t>688535-7-LQ16-CTS</t>
  </si>
  <si>
    <t>688535-8-LQ16-CTS</t>
  </si>
  <si>
    <t>688535-9-LQ16-CTS</t>
  </si>
  <si>
    <t>PYT-2016-0016AM</t>
  </si>
  <si>
    <t>PYT-2016-0159AM</t>
  </si>
  <si>
    <t>PYT-2016-0197AM</t>
  </si>
  <si>
    <t>PYT-2016-0064AM</t>
  </si>
  <si>
    <t>PYT-2016-0571 AM</t>
  </si>
  <si>
    <t>PYT-2016-0612 AM</t>
  </si>
  <si>
    <t>PYT-2016-0622</t>
  </si>
  <si>
    <t>PYT-2016-0624 AM</t>
  </si>
  <si>
    <t>PYT-2016-0648 AM</t>
  </si>
  <si>
    <t>PYT-2016-0649 AM</t>
  </si>
  <si>
    <t>PYT-2016-0662 AM</t>
  </si>
  <si>
    <t>PYT-2016-0674 AM</t>
  </si>
  <si>
    <t>PYT-2016-0686 AM</t>
  </si>
  <si>
    <t>PYT-2016-0689 AM</t>
  </si>
  <si>
    <t>PYT-2016-0700 AM</t>
  </si>
  <si>
    <t>Comité</t>
  </si>
  <si>
    <t>ConsejoF</t>
  </si>
  <si>
    <t>ConsejoP</t>
  </si>
  <si>
    <t>Directorio</t>
  </si>
  <si>
    <t>RedAgrícola</t>
  </si>
  <si>
    <t>SOUTHAM</t>
  </si>
  <si>
    <t>CERES BCA</t>
  </si>
  <si>
    <t>Codesser</t>
  </si>
  <si>
    <t>Papa Chile</t>
  </si>
  <si>
    <t>Viña Santa Carolina</t>
  </si>
  <si>
    <t>Tres Columnas</t>
  </si>
  <si>
    <t>CIREN</t>
  </si>
  <si>
    <t>CHILEOLIVA</t>
  </si>
  <si>
    <t>INDUPAN</t>
  </si>
  <si>
    <t>ASPROCER</t>
  </si>
  <si>
    <t>FECHIPAN</t>
  </si>
  <si>
    <t>DAYENU Ltda</t>
  </si>
  <si>
    <t>EUROCHILE</t>
  </si>
  <si>
    <t>Abud Sittler</t>
  </si>
  <si>
    <t>Arroceros Unicaven</t>
  </si>
  <si>
    <t>Comités Campesinos Arroz</t>
  </si>
  <si>
    <t>Comité Crucero de Buli</t>
  </si>
  <si>
    <t>Comité Arroz Millauquen Unido</t>
  </si>
  <si>
    <t>Comité Arrocero Otingue</t>
  </si>
  <si>
    <t>15CET1-38847</t>
  </si>
  <si>
    <t>UIBC</t>
  </si>
  <si>
    <t>Maturana y Ortega</t>
  </si>
  <si>
    <t>15CET1-38864</t>
  </si>
  <si>
    <t>15CET1-38872</t>
  </si>
  <si>
    <t>Beitia y García</t>
  </si>
  <si>
    <t>AGRYD</t>
  </si>
  <si>
    <t>CE Rosario</t>
  </si>
  <si>
    <t>16CET2-63919</t>
  </si>
  <si>
    <t>Viña Errázuriz Dominguez</t>
  </si>
  <si>
    <t>CoopVit Cerro Negro Quillón</t>
  </si>
  <si>
    <t>Viñas de Guarilihue</t>
  </si>
  <si>
    <t>Ecoparra SPA</t>
  </si>
  <si>
    <t>Tres Mares</t>
  </si>
  <si>
    <t>15PDTD-46528</t>
  </si>
  <si>
    <t>Agtech Chile: Plataforma De Difusión, Transferencia De Tecnología  Y Negocios Para Convertir A Empresas Chilenas De Bioinsumos Y Agricultura De Precisión En Organizaciones De Clase Mundial.</t>
  </si>
  <si>
    <t>16BPE-62292</t>
  </si>
  <si>
    <t>Alimentos saludables: Elaboración de Normas Chilenas para nutrientes críticos como apoyo al fortalecimiento de la competitividad analítica nacional</t>
  </si>
  <si>
    <t>16IFI-57352</t>
  </si>
  <si>
    <t>Aumento de capacidad planta de liofilización South Am en 230.000 toneladas año y construcción de un centro de innovación que desarrolle nuevos productos a procesar bajo esta tecnología.</t>
  </si>
  <si>
    <t>16CET2-63917</t>
  </si>
  <si>
    <t>Centro De Extensión Hortícola Universidad De Chile </t>
  </si>
  <si>
    <t>Centro De Extensionismo Vitivinícola Del Sur</t>
  </si>
  <si>
    <t>15PDTD-46492</t>
  </si>
  <si>
    <t>Cerezos O´Higgins 2020: Huertos Peatonales, Coberturas Y Automatización De Labores.</t>
  </si>
  <si>
    <t>15PDTD-46497</t>
  </si>
  <si>
    <t>Cultivo De Papas Sustentables Para La Región De Los Lagos</t>
  </si>
  <si>
    <t>15BPE-47219</t>
  </si>
  <si>
    <t>Desarrollo de un sistema de gestión para la trazabilidad en base a estándares: un modelo a partir de la cadena de alimentos.</t>
  </si>
  <si>
    <t>Diágnóstico Centro De Extensionismo Tecnológico Para La Industria De Frutas Y Hortalizas Procesadas De Las Regiones V A Viii</t>
  </si>
  <si>
    <t>Diagnostico Para Diseño De Un Centro De Extensionismo Tecnológico Para La Agroindustria De Transformacion De Frutas Y Hortalizas</t>
  </si>
  <si>
    <t>15PDTD-44828</t>
  </si>
  <si>
    <t>Difusión De Tecnologías De Información Para Apoyar La Gestión De Riego De Precisión En Cultivos Industriales</t>
  </si>
  <si>
    <t>16BPE-62273</t>
  </si>
  <si>
    <t>Diseño De Un Protocolo De  Monitoreo Y Control De Riesgos Asociados A Norovirus Y Hepatitis-A En La Cadena Productiva De Berries</t>
  </si>
  <si>
    <t>15PFC-47053</t>
  </si>
  <si>
    <t>Especialización en procesos agroindustriales</t>
  </si>
  <si>
    <t>15BP-45394</t>
  </si>
  <si>
    <t xml:space="preserve">Evaluación De Los Niveles De Arsénico En El Arroz Comercializado En Chile: Una Estrategia Para Promover La Inocuidad De Los Alimentos, Salud De La Población, Sustentabilidad Y Competitividad De Cultivo. </t>
  </si>
  <si>
    <t>16BPE-62278</t>
  </si>
  <si>
    <t>Fortalecimiento de la competitividad del rubro ovino en los sistemas ganaderos extensivos de la Patagonia Occidental mediante el desarrollo de estrategias de manejo y evaluación genética.</t>
  </si>
  <si>
    <t>15PDTD-46536</t>
  </si>
  <si>
    <t>Incorporación De Nuevas Tecnologías Para El Desarrollo Y Protección Sustentable Del Cultivo De La Papa (Solanum Tuberosum) En La Región De Los Lagos</t>
  </si>
  <si>
    <t>15PDTD-45833</t>
  </si>
  <si>
    <t xml:space="preserve">Mandarinos: Alternativas Para Una Producción Eficiente Y Sustentable. </t>
  </si>
  <si>
    <t>15PDTD-46264</t>
  </si>
  <si>
    <t>Manejos Para Enfrentar El Cambio Climático En Vid Vinífera</t>
  </si>
  <si>
    <t>15PRAP-49490</t>
  </si>
  <si>
    <t>Maquimapu Energias De La Tierra</t>
  </si>
  <si>
    <t>15PDTP-46512</t>
  </si>
  <si>
    <t xml:space="preserve">Misión De Prospección De Tecnologías De Riego Rentables En Lecherías Bovinas De Australia </t>
  </si>
  <si>
    <t>15BPE-47269</t>
  </si>
  <si>
    <t>Modelo de adaptación al cambio climático por medio de la zonificación de aptitud productiva de especies hortofrutícolas priorizadas en la Región del Biobío.</t>
  </si>
  <si>
    <t>16BPE-62339</t>
  </si>
  <si>
    <t xml:space="preserve">Modelo de predicción del rendimiento de aceite de oliva, basado en variables agronómicas y ambientales de fácil medición, que aumenten la competitividad y la eficiencia de la industria. </t>
  </si>
  <si>
    <t>15NOES-48785</t>
  </si>
  <si>
    <t>Nodo Estratégico  Corriente Alimentaria</t>
  </si>
  <si>
    <t>15PDTP-45944</t>
  </si>
  <si>
    <t>Nuevas Tecnologías Para Un Manejo Sustentable De La Industria De Las Nueces De Nogal Chilenas</t>
  </si>
  <si>
    <t>15PDTD-46517</t>
  </si>
  <si>
    <t>Olivos Del Maule: Actualización Tecnológica Y Prácticas Productivas Sustentables, Para Responder A Las Nuevas Tendencias De Mercado Y A Una Demanda Creciente.</t>
  </si>
  <si>
    <t>Plan Estratégico-Diagnóstico Centro De Extensionismo Tecnológico</t>
  </si>
  <si>
    <t>15BP-45344</t>
  </si>
  <si>
    <t xml:space="preserve">Plataforma De Normativas Y Exigencias Comerciales En Inocuidad Para La Industria De Frutas Y Hortalizas Procesadas </t>
  </si>
  <si>
    <t>15BPE-47256</t>
  </si>
  <si>
    <t>Plataforma de Sustentabilidad para mejorar la competitividad estratégica de la cadena láctea chilena en el ámbito nacional e internacional adaptando la metodología DSF (Dairy Sustainability Framework).</t>
  </si>
  <si>
    <t>16BPE-62330</t>
  </si>
  <si>
    <t xml:space="preserve">Plataforma informática para Gestión Sanitaria y de Inocuidad en producción Pecuaria </t>
  </si>
  <si>
    <t>15PDTD-46534</t>
  </si>
  <si>
    <t>Programa De Difusión Tecnológica Industria De La Panadería Y Pastelería Fechipan</t>
  </si>
  <si>
    <t>15PDTD-46541</t>
  </si>
  <si>
    <t xml:space="preserve">Programa De Difusión Tecnológica Para El Manejo Seguro E Inocuo De Las Hortalizas </t>
  </si>
  <si>
    <t>15PDTD-46546</t>
  </si>
  <si>
    <t>Programa De Difusión Tecnológica Para La Producción De  Vinos Premium  En Productores De Edición Limitada De La Provincia De Colchagua Y Alrededores</t>
  </si>
  <si>
    <t>15PDTP-40466</t>
  </si>
  <si>
    <t>Prospección De Tecnologías, Mejores Prácticas Y Técnicas Innovadoras Italianas, Para La Conservación De Estándares De Calidad En La Elaboración De Productos Gourmet, Al Cambiar La Escala De Producción De Lo Artesanal A Lo Industrial</t>
  </si>
  <si>
    <t>15PDTD-46538</t>
  </si>
  <si>
    <t>Sofisticando La Producción De Hortalizas: Alimentos Diversificados, Inocuos Y Sustentables</t>
  </si>
  <si>
    <t>15PDTD-43757</t>
  </si>
  <si>
    <t>Uso De Cobertores Plásticos En El Cultivo Del Kiwi Amarillo, Transferencia Tecnológica De Unpotencial Sistema De Contención De Pseudomona Syringae Pv Actinidiae (Psa)</t>
  </si>
  <si>
    <t>15BP-45344 AM</t>
  </si>
  <si>
    <t>15BP-45394 AM</t>
  </si>
  <si>
    <t>15BP-45394 C</t>
  </si>
  <si>
    <t>15BPE-47219 AM</t>
  </si>
  <si>
    <t>15BPE-47256 AM</t>
  </si>
  <si>
    <t>15BPE-47269 AM</t>
  </si>
  <si>
    <t>15BPE-47269 C</t>
  </si>
  <si>
    <t>15CET1-38847 AM</t>
  </si>
  <si>
    <t>15CET1-38864 AM</t>
  </si>
  <si>
    <t>15CET1-38872 AM</t>
  </si>
  <si>
    <t>15NOES-48785AM</t>
  </si>
  <si>
    <t>15PDTP-45944AM</t>
  </si>
  <si>
    <t>16BPE-62273 AM</t>
  </si>
  <si>
    <t>16BPE-62273 C</t>
  </si>
  <si>
    <t>16BPE-62278 AM</t>
  </si>
  <si>
    <t>16BPE-62292 AM</t>
  </si>
  <si>
    <t>16BPE-62330 AM</t>
  </si>
  <si>
    <t>16BPE-62339 AM</t>
  </si>
  <si>
    <t>16CET2-63917 AM</t>
  </si>
  <si>
    <t>16CET2-63919 AM</t>
  </si>
  <si>
    <t>16CET2-63919 C</t>
  </si>
  <si>
    <t>16IFI-57352A</t>
  </si>
  <si>
    <t>Workbook Settings 2</t>
  </si>
  <si>
    <t>F Min Los Pelambres</t>
  </si>
  <si>
    <t>A. Choapa</t>
  </si>
  <si>
    <t>AG Industriales
Plástico</t>
  </si>
  <si>
    <t>A.P.
Estratégicos</t>
  </si>
  <si>
    <t>A.P. Inversión
Tecnológica</t>
  </si>
  <si>
    <t>Asprocer</t>
  </si>
  <si>
    <t>Beitía &amp; García</t>
  </si>
  <si>
    <t>Bienes
Públicos</t>
  </si>
  <si>
    <t>CDT Agroindustrial
UConce</t>
  </si>
  <si>
    <t>Centros
Extensionismo</t>
  </si>
  <si>
    <t>Centros
Tecnológicos</t>
  </si>
  <si>
    <t>ChileAlimentos</t>
  </si>
  <si>
    <t>Clean Energy</t>
  </si>
  <si>
    <t>CODESSER</t>
  </si>
  <si>
    <t>COINVENTA</t>
  </si>
  <si>
    <t>Consorcio
Lechero</t>
  </si>
  <si>
    <t>CTS</t>
  </si>
  <si>
    <t>Contexto</t>
  </si>
  <si>
    <t>Hortofrutícola</t>
  </si>
  <si>
    <t>DAYENU</t>
  </si>
  <si>
    <t>D Politicas
Públicas</t>
  </si>
  <si>
    <t>Ecoparra</t>
  </si>
  <si>
    <t>Los Pelambres</t>
  </si>
  <si>
    <t>FI Agrícola
UConce</t>
  </si>
  <si>
    <t>Fraunhofer
Chile</t>
  </si>
  <si>
    <t>Frutisur</t>
  </si>
  <si>
    <t>FCh</t>
  </si>
  <si>
    <t>GR Maule</t>
  </si>
  <si>
    <t>GR Valpo</t>
  </si>
  <si>
    <t>Artisan Ltda</t>
  </si>
  <si>
    <t>La Cruz</t>
  </si>
  <si>
    <t>Quilamapu</t>
  </si>
  <si>
    <t>Raihuén</t>
  </si>
  <si>
    <t>Isla Natura</t>
  </si>
  <si>
    <t>Jaime Taladriz C.</t>
  </si>
  <si>
    <t>J. Antonio Galilea V.</t>
  </si>
  <si>
    <t>Laboratorio
Movil</t>
  </si>
  <si>
    <t>Lacteos
Los Puquios</t>
  </si>
  <si>
    <t>Nodos</t>
  </si>
  <si>
    <t>Nueces del
Choapa</t>
  </si>
  <si>
    <t>P. Fortalecimiento
Capacidades</t>
  </si>
  <si>
    <t>Pigmentos
Naturales</t>
  </si>
  <si>
    <t>Polos</t>
  </si>
  <si>
    <t>Programas
Tecnológicos</t>
  </si>
  <si>
    <t>C. Robinson
Crusoe</t>
  </si>
  <si>
    <t>SEREMI
BIOBIO</t>
  </si>
  <si>
    <t>Southam</t>
  </si>
  <si>
    <t>Subse 
Redes Asistenciales</t>
  </si>
  <si>
    <t>Innovación
UCHILE</t>
  </si>
  <si>
    <t>Subse
Agricultura</t>
  </si>
  <si>
    <t>Subse
Economía</t>
  </si>
  <si>
    <t>UAB</t>
  </si>
  <si>
    <t>UC Davis</t>
  </si>
  <si>
    <t>UCMaule</t>
  </si>
  <si>
    <t>U Los Andes</t>
  </si>
  <si>
    <t>U Magallanes</t>
  </si>
  <si>
    <t>UTM</t>
  </si>
  <si>
    <t>Santa
Carolina</t>
  </si>
  <si>
    <t>Santa Rita</t>
  </si>
  <si>
    <t>PTEC Fruticultura Centro Norte</t>
  </si>
  <si>
    <t>PTEC Fruticultura Centro Sur</t>
  </si>
  <si>
    <t>PTEC Fruticultura Sur</t>
  </si>
  <si>
    <t>IFI Frutícola</t>
  </si>
  <si>
    <t>IFI Cero Pérdida</t>
  </si>
  <si>
    <t>Desarrollo Y Validación De Ovoproductos Nutracéuticos A Partir De Huevos Free Range Producidos Bajo El Sistema De Comercio Justo Asociativo Con Pequeños Productores Para El Mercado Nacional E Internacional</t>
  </si>
  <si>
    <t>Procesamiento Y Comercialización De Ingredientes Funcionales A Base De Berries Silvestres A Través De La Comunidad De Mujeres De La Isla Robinson Crusoe</t>
  </si>
  <si>
    <t>Graph Type</t>
  </si>
  <si>
    <t>Modularity</t>
  </si>
  <si>
    <t>NodeXL Version</t>
  </si>
  <si>
    <t>Not Applicable</t>
  </si>
  <si>
    <t>1.0.1.380</t>
  </si>
  <si>
    <t>G1</t>
  </si>
  <si>
    <t>G2</t>
  </si>
  <si>
    <t>G3</t>
  </si>
  <si>
    <t>G4</t>
  </si>
  <si>
    <t>G5</t>
  </si>
  <si>
    <t>G6</t>
  </si>
  <si>
    <t>G7</t>
  </si>
  <si>
    <t>G8</t>
  </si>
  <si>
    <t>G9</t>
  </si>
  <si>
    <t>G10</t>
  </si>
  <si>
    <t>G11</t>
  </si>
  <si>
    <t>0, 12, 96</t>
  </si>
  <si>
    <t>0, 136, 227</t>
  </si>
  <si>
    <t>0, 100, 50</t>
  </si>
  <si>
    <t>0, 176, 22</t>
  </si>
  <si>
    <t>191, 0, 0</t>
  </si>
  <si>
    <t>230, 120, 0</t>
  </si>
  <si>
    <t>255, 191, 0</t>
  </si>
  <si>
    <t>150, 200, 0</t>
  </si>
  <si>
    <t>200, 0, 120</t>
  </si>
  <si>
    <t>77, 0, 96</t>
  </si>
  <si>
    <t>Vertex Group</t>
  </si>
  <si>
    <t>Vertex 1 Group</t>
  </si>
  <si>
    <t>Vertex 2 Group</t>
  </si>
  <si>
    <t>LayoutAlgorithm░The graph was laid out using the Fruchterman-Reingold layout algorithm.▓GraphDirectedness░The graph is undirected.▓GroupingDescription░The graph's vertices were grouped by cluster using the Clauset-Newman-Moore cluster algorithm.</t>
  </si>
  <si>
    <t>Group 1</t>
  </si>
  <si>
    <t>Group 2</t>
  </si>
  <si>
    <t>Edges</t>
  </si>
  <si>
    <t>yes</t>
  </si>
  <si>
    <t>Vertices[Clustering Coefficient]</t>
  </si>
  <si>
    <t xml:space="preserve">&lt;?xml version="1.0" encoding="utf-8"?&gt;_x000D_
&lt;configuration&gt;_x000D_
&lt;configSections&gt;_x000D_
&lt;sectionGroup name="userSettings" type="System.Configuration.UserSettingsGroup, System, Version=2.0.0.0, Culture=neutral, PublicKeyToken=b77a5c561934e089"&gt;_x000D_
    &lt;section name="DynamicFiltersUserSettings"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name="DynamicFilterDialog3" type="System.Configuration.ClientSettingsSection, System, Version=2.0.0.0, Culture=neutral, PublicKeyToken=b77a5c561934e089" allowExeDefinition="MachineToLocalUser" requirePermission="false" /&gt;_x000D_
    &lt;section name="LayoutUserSettingsDialog4" type="System.Configuration.ClientSettingsSection, System, Version=2.0.0.0, Culture=neutral, PublicKeyToken=b77a5c561934e089" allowExeDefinition="MachineToLocalUser" requirePermission="false" /&gt;_x000D_
    &lt;section name="GraphImageUserSettingsDialog3" type="System.Configuration.ClientSettingsSection, System, Version=2.0.0.0, Culture=neutral, PublicKeyToken=b77a5c561934e089" allowExeDefinition="MachineToLocalUser" requirePermission="false" /&gt;_x000D_
    &lt;section name="GeneralUserSettingsDialog5" type="System.Configuration.ClientSettingsSection, System, Version=2.0.0.0, Culture=neutral, PublicKeyToken=b77a5c561934e089" allowExeDefinition="MachineToLocalUser" requirePermission="false" /&gt;_x000D_
    &lt;section name="ClusterUserSettingsDialog" type="System.Configuration.ClientSettingsSection, System, Version=2.0.0.0, Culture=neutral, PublicKeyToken=b77a5c561934e089" allowExeDefinition="MachineToLocalUser" requirePermission="false" /&gt;_x000D_
    &lt;section name="GraphMetricsDialog6" type="System.Configuration.ClientSettingsSection, System, Version=2.0.0.0, Culture=neutral, PublicKeyToken=b77a5c561934e089" allowExeDefinition="MachineToLocalUser" requirePermission="false" /&gt;_x000D_
    &lt;section name="CalculateGraphMetricsDialog" type="System.Configuration.ClientSettingsSection, System, Version=2.0.0.0, Culture=neutral, PublicKeyToken=b77a5c561934e089" allowExeDefinition="MachineToLocalUser" requirePermission="false" /&gt;_x000D_
&lt;/sectionGroup&gt;&lt;/configSections&gt;_x000D_
&lt;userSettings&gt;_x000D_
    &lt;DynamicFiltersUserSettings&gt;_x000D_
        &lt;setting name="FilterNonNumericCells" serializeAs="String"&gt;_x000D_
            &lt;value&gt;False&lt;/value&gt;_x000D_
        &lt;/setting&gt;_x000D_
        &lt;setting name="FilteredAlpha" serializeAs="String"&gt;_x000D_
            &lt;value&gt;0&lt;/value&gt;_x000D_
        &lt;/setting&gt;_x000D_
    &lt;/DynamicFiltersUserSettings&gt;_x000D_
    &lt;GroupUserSettings&gt;_x000D_
        &lt;setting name="ReadGroups"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&lt;value&gt;False&lt;/value&gt;_x000D_
        &lt;/setting&gt;_x000D_
    &lt;/ClusterUserSettings&gt;_x000D_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&lt;value&gt;Degree, ClusteringCoefficient, BrandesFastCentralities, EigenvectorCentrality, PageRank, OverallMetrics, GroupMetrics&lt;/value&gt;_x000D_
        &lt;/setting&gt;_x000D_
    &lt;/GraphMetricUserSettings&gt;_x000D_
    &lt;LayoutUserSettings&gt;_x000D_
        &lt;setting name="Margin" serializeAs="String"&gt;_x000D_
            &lt;value&gt;6&lt;/value&gt;_x000D_
        &lt;/setting&gt;_x000D_
        &lt;setting name="FruchtermanReingoldIterations" serializeAs="String"&gt;_x000D_
            &lt;value&gt;100&lt;/value&gt;_x000D_
        &lt;/setting&gt;_x000D_
        &lt;setting name="BoxLayoutAlgorithm" serializeAs="String"&gt;_x000D_
            </t>
  </si>
  <si>
    <t>CET-AProcesados</t>
  </si>
  <si>
    <t>CET
AProcesados</t>
  </si>
  <si>
    <t>G12</t>
  </si>
  <si>
    <t>91, 0, 191</t>
  </si>
  <si>
    <t>0, 98, 130</t>
  </si>
  <si>
    <t xml:space="preserve">&lt;value&gt;Treemap&lt;/value&gt;_x000D_
        &lt;/setting&gt;_x000D_
        &lt;setting name="FruchtermanReingoldC" serializeAs="String"&gt;_x000D_
            &lt;value&gt;1.5&lt;/value&gt;_x000D_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&lt;value&gt;0.46&lt;/value&gt;_x000D_
        &lt;/setting&gt;_x000D_
    &lt;/GraphZoomAndScaleUserSettings&gt;_x000D_
    &lt;DynamicFilterDialog3&gt;_x000D_
        &lt;setting name="FormSize" serializeAs="String"&gt;_x000D_
            &lt;value&gt;642, 374&lt;/value&gt;_x000D_
        &lt;/setting&gt;_x000D_
        &lt;setting name="FormWindowState" serializeAs="String"&gt;_x000D_
            &lt;value&gt;Normal&lt;/value&gt;_x000D_
        &lt;/setting&gt;_x000D_
        &lt;setting name="FormLocation" serializeAs="String"&gt;_x000D_
            &lt;value&gt;-59, -1190&lt;/value&gt;_x000D_
        &lt;/setting&gt;_x000D_
        &lt;setting name="HasBeenSaved" serializeAs="String"&gt;_x000D_
            &lt;value&gt;True&lt;/value&gt;_x000D_
        &lt;/setting&gt;_x000D_
    &lt;/DynamicFilterDialog3&gt;_x000D_
    &lt;LayoutUserSettingsDialog4&gt;_x000D_
        &lt;setting name="FormSize" serializeAs="String"&gt;_x000D_
            &lt;value&gt;498, 666&lt;/value&gt;_x000D_
        &lt;/setting&gt;_x000D_
        &lt;setting name="FormWindowState" serializeAs="String"&gt;_x000D_
            &lt;value&gt;Normal&lt;/value&gt;_x000D_
        &lt;/setting&gt;_x000D_
        &lt;setting name="FormLocation" serializeAs="String"&gt;_x000D_
            &lt;value&gt;192, 192&lt;/value&gt;_x000D_
        &lt;/setting&gt;_x000D_
        &lt;setting name="HasBeenSaved" serializeAs="String"&gt;_x000D_
            &lt;value&gt;True&lt;/value&gt;_x000D_
        &lt;/setting&gt;_x000D_
    &lt;/LayoutUserSettingsDialog4&gt;_x000D_
    &lt;GraphImageUserSettingsDialog3&gt;_x000D_
        &lt;setting name="FormSize" serializeAs="String"&gt;_x000D_
            &lt;value&gt;499, 563&lt;/value&gt;_x000D_
        &lt;/setting&gt;_x000D_
        &lt;setting name="FormWindowState" serializeAs="String"&gt;_x000D_
            &lt;value&gt;Normal&lt;/value&gt;_x000D_
        &lt;/setting&gt;_x000D_
        &lt;setting name="FormLocation" serializeAs="String"&gt;_x000D_
            &lt;value&gt;64, 64&lt;/value&gt;_x000D_
        &lt;/setting&gt;_x000D_
        &lt;setting name="HasBeenSaved" serializeAs="String"&gt;_x000D_
            &lt;value&gt;True&lt;/value&gt;_x000D_
        &lt;/setting&gt;_x000D_
    &lt;/GraphImageUserSettingsDialog3&gt;_x000D_
    &lt;GeneralUserSettingsDialog5&gt;_x000D_
        &lt;setting name="FormSize" serializeAs="String"&gt;_x000D_
            &lt;value&gt;554, 633&lt;/value&gt;_x000D_
        &lt;/setting&gt;_x000D_
        &lt;setting name="FormWindowState" serializeAs="String"&gt;_x000D_
            &lt;value&gt;Normal&lt;/value&gt;_x000D_
        &lt;/setting&gt;_x000D_
        &lt;setting name="FormLocation" serializeAs="String"&gt;_x000D_
            &lt;value&gt;64, 64&lt;/value&gt;_x000D_
        &lt;/setting&gt;_x000D_
        &lt;setting name="TabControlSelectedIndex" serializeAs="String"&gt;_x000D_
            &lt;value&gt;0&lt;/value&gt;_x000D_
        &lt;/setting&gt;_x000D_
        &lt;setting name="HasBeenSaved" serializeAs="String"&gt;_x000D_
            &lt;value&gt;True&lt;/value&gt;_x000D_
        &lt;/setting&gt;_x000D_
    &lt;/GeneralUserSettingsDialog5&gt;_x000D_
    &lt;ClusterUserSettingsDialog&gt;_x000D_
        &lt;setting name="FormSize" serializeAs="String"&gt;_x000D_
            &lt;value&gt;501, 252&lt;/value&gt;_x000D_
        &lt;/setting&gt;_x000D_
        &lt;setting name="FormWindowState" serializeAs="String"&gt;_x000D_
            &lt;value&gt;Normal&lt;/value&gt;_x000D_
        &lt;/setting&gt;_x000D_
        &lt;setting name="FormLocation" serializeAs="String"&gt;_x000D_
            &lt;value&gt;192, 192&lt;/value&gt;_x000D_
        &lt;/setting&gt;_x000D_
        &lt;setting name="HasBeenSaved" serializeAs="String"&gt;_x000D_
            &lt;value&gt;True&lt;/value&gt;_x000D_
        &lt;/setting&gt;_x000D_
    &lt;/ClusterUserSettingsDialog&gt;_x000D_
    &lt;GraphMetricsDialog6&gt;_x000D_
        &lt;setting name="FormSize" serializeAs="String"&gt;_x000D_
            &lt;value&gt;662, 767&lt;/value&gt;_x000D_
        &lt;/setting&gt;_x000D_
        &lt;setting name="FormWindowState" serializeAs="String"&gt;_x000D_
            &lt;value&gt;Normal&lt;/value&gt;_x000D_
        &lt;/setting&gt;_x000D_
        &lt;setting name="FormLocation" serializeAs="String"&gt;_x000D_
            &lt;value&gt;96, 96&lt;/value&gt;_x000D_
        &lt;/setting&gt;_x000D_
        &lt;setting name="HasBeenSaved" serializeAs="String"&gt;_x000D_
            &lt;value&gt;True&lt;/value&gt;_x000D_
        &lt;/setting&gt;_x000D_
    &lt;/GraphMetricsDialog6&gt;_x000D_
    &lt;CalculateGraphMetricsDialog&gt;_x000D_
        &lt;setting name="FormSize" serializeAs="String"&gt;_x000D_
            &lt;value&gt;418, 200&lt;/value&gt;_x000D_
        &lt;/setting&gt;_x000D_
        &lt;setting name="FormWindowState" serializeAs="String"&gt;_x000D_
            &lt;value&gt;Normal&lt;/value&gt;_x000D_
        &lt;/setting&gt;_x000D_
        &lt;setting name="FormLocation" serializeAs="String"&gt;_x000D_
            &lt;value&gt;128, 128&lt;/value&gt;_x000D_
        &lt;/setting&gt;_x000D_
        &lt;setting name="HasBeenSaved" serializeAs="String"&gt;_x000D_
            &lt;value&gt;True&lt;/value&gt;_x000D_
        &lt;/setting&gt;_x000D_
    &lt;/CalculateGraphMetricsDialog&gt;_x000D_
&lt;/userSettings&gt;_x000D_
&lt;/configuration&gt;_x000D_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</si>
</sst>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00"/>
    <numFmt numFmtId="167" formatCode="0.000"/>
    <numFmt numFmtId="168" formatCode="dd/mm/yy;@"/>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sz val="8"/>
      <color theme="1"/>
      <name val="Calibri"/>
      <family val="2"/>
      <scheme val="minor"/>
    </font>
    <font>
      <sz val="8"/>
      <color theme="0"/>
      <name val="Calibri"/>
      <family val="2"/>
      <scheme val="minor"/>
    </font>
    <font>
      <sz val="11"/>
      <color theme="1"/>
      <name val="Calibri"/>
      <scheme val="minor"/>
    </font>
  </fonts>
  <fills count="11">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tint="-0.14999847407452621"/>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7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49" fontId="0" fillId="0" borderId="0" xfId="0" applyNumberFormat="1" applyAlignment="1">
      <alignment wrapText="1"/>
    </xf>
    <xf numFmtId="0" fontId="0" fillId="0" borderId="0" xfId="0" applyBorder="1"/>
    <xf numFmtId="0" fontId="0" fillId="0" borderId="0" xfId="0" applyAlignment="1">
      <alignment wrapText="1"/>
    </xf>
    <xf numFmtId="0" fontId="0" fillId="0" borderId="0" xfId="2" applyFont="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4" fontId="10" fillId="9" borderId="5" xfId="0" applyNumberFormat="1" applyFont="1" applyFill="1" applyBorder="1"/>
    <xf numFmtId="0" fontId="10" fillId="9" borderId="6" xfId="0" applyNumberFormat="1" applyFont="1" applyFill="1" applyBorder="1"/>
    <xf numFmtId="0" fontId="10" fillId="9" borderId="5" xfId="0" applyNumberFormat="1" applyFont="1" applyFill="1" applyBorder="1"/>
    <xf numFmtId="49" fontId="11" fillId="0" borderId="0" xfId="0" applyNumberFormat="1" applyFont="1" applyAlignment="1">
      <alignment wrapText="1"/>
    </xf>
    <xf numFmtId="0" fontId="11" fillId="0" borderId="0" xfId="0" applyFont="1" applyAlignment="1">
      <alignment wrapText="1"/>
    </xf>
    <xf numFmtId="49" fontId="11" fillId="0" borderId="0" xfId="3" applyNumberFormat="1" applyFont="1" applyAlignment="1">
      <alignment wrapText="1"/>
    </xf>
    <xf numFmtId="0" fontId="11" fillId="5" borderId="1" xfId="4" applyNumberFormat="1" applyFont="1" applyAlignment="1">
      <alignment wrapText="1"/>
    </xf>
    <xf numFmtId="164" fontId="11" fillId="5" borderId="1" xfId="4" applyNumberFormat="1" applyFont="1" applyAlignment="1">
      <alignment wrapText="1"/>
    </xf>
    <xf numFmtId="1" fontId="11" fillId="5" borderId="1" xfId="4" applyNumberFormat="1" applyFont="1" applyAlignment="1">
      <alignment wrapText="1"/>
    </xf>
    <xf numFmtId="49" fontId="12" fillId="6" borderId="1" xfId="6" applyNumberFormat="1" applyFont="1" applyAlignment="1">
      <alignment wrapText="1"/>
    </xf>
    <xf numFmtId="0" fontId="12" fillId="6" borderId="1" xfId="6" applyNumberFormat="1" applyFont="1" applyAlignment="1">
      <alignment wrapText="1"/>
    </xf>
    <xf numFmtId="0" fontId="11" fillId="4" borderId="1" xfId="5" applyNumberFormat="1" applyFont="1" applyAlignment="1">
      <alignment wrapText="1"/>
    </xf>
    <xf numFmtId="0" fontId="11" fillId="2" borderId="1" xfId="1" applyNumberFormat="1" applyFont="1" applyAlignment="1">
      <alignment wrapText="1"/>
    </xf>
    <xf numFmtId="0" fontId="11" fillId="0" borderId="0" xfId="2" applyNumberFormat="1" applyFont="1" applyAlignment="1">
      <alignment wrapText="1"/>
    </xf>
    <xf numFmtId="0" fontId="11" fillId="0" borderId="0" xfId="0" applyFont="1" applyAlignment="1">
      <alignment horizontal="center" vertical="top" wrapText="1"/>
    </xf>
    <xf numFmtId="0" fontId="11" fillId="5" borderId="0" xfId="4" applyNumberFormat="1" applyFont="1" applyBorder="1"/>
    <xf numFmtId="1" fontId="11" fillId="5" borderId="0" xfId="4" applyNumberFormat="1" applyFont="1" applyBorder="1"/>
    <xf numFmtId="49" fontId="12" fillId="6" borderId="1" xfId="6" applyNumberFormat="1" applyFont="1"/>
    <xf numFmtId="0" fontId="12" fillId="6" borderId="1" xfId="6" applyFont="1"/>
    <xf numFmtId="0" fontId="11" fillId="4" borderId="1" xfId="5" applyNumberFormat="1" applyFont="1"/>
    <xf numFmtId="0" fontId="11" fillId="2" borderId="0" xfId="1" applyNumberFormat="1" applyFont="1" applyBorder="1"/>
    <xf numFmtId="0" fontId="11" fillId="0" borderId="0" xfId="2" applyFont="1"/>
    <xf numFmtId="49" fontId="12" fillId="6" borderId="11" xfId="6" applyNumberFormat="1" applyFont="1" applyBorder="1" applyAlignment="1">
      <alignment wrapText="1"/>
    </xf>
    <xf numFmtId="0" fontId="12" fillId="6" borderId="11" xfId="6" applyNumberFormat="1" applyFont="1" applyBorder="1" applyAlignment="1">
      <alignment wrapText="1"/>
    </xf>
    <xf numFmtId="0" fontId="11" fillId="4" borderId="11" xfId="5" applyNumberFormat="1" applyFont="1" applyBorder="1" applyAlignment="1">
      <alignment wrapText="1"/>
    </xf>
    <xf numFmtId="0" fontId="11" fillId="2" borderId="11" xfId="1" applyNumberFormat="1" applyFont="1" applyBorder="1" applyAlignment="1">
      <alignment wrapText="1"/>
    </xf>
    <xf numFmtId="0" fontId="11" fillId="0" borderId="0" xfId="2" applyNumberFormat="1" applyFont="1" applyBorder="1" applyAlignment="1">
      <alignment wrapText="1"/>
    </xf>
    <xf numFmtId="49" fontId="11" fillId="0" borderId="0" xfId="3" applyNumberFormat="1" applyFont="1" applyAlignment="1"/>
    <xf numFmtId="0" fontId="11" fillId="5" borderId="1" xfId="4" applyNumberFormat="1" applyFont="1" applyAlignment="1"/>
    <xf numFmtId="164" fontId="11" fillId="5" borderId="1" xfId="4" applyNumberFormat="1" applyFont="1" applyAlignment="1"/>
    <xf numFmtId="1" fontId="11" fillId="5" borderId="1" xfId="4" applyNumberFormat="1" applyFont="1" applyAlignment="1"/>
    <xf numFmtId="49" fontId="11" fillId="0" borderId="0" xfId="3" applyNumberFormat="1" applyFont="1" applyBorder="1" applyAlignment="1"/>
    <xf numFmtId="0" fontId="11" fillId="5" borderId="11" xfId="4" applyNumberFormat="1" applyFont="1" applyBorder="1" applyAlignment="1"/>
    <xf numFmtId="164" fontId="11" fillId="5" borderId="11" xfId="4" applyNumberFormat="1" applyFont="1" applyBorder="1" applyAlignment="1"/>
    <xf numFmtId="1" fontId="11" fillId="5" borderId="11" xfId="4" applyNumberFormat="1" applyFont="1" applyBorder="1" applyAlignment="1"/>
    <xf numFmtId="0" fontId="11" fillId="0" borderId="0" xfId="2" applyNumberFormat="1" applyFont="1" applyAlignment="1"/>
    <xf numFmtId="0" fontId="11" fillId="0" borderId="0" xfId="0" applyFont="1" applyAlignment="1"/>
    <xf numFmtId="0" fontId="11" fillId="0" borderId="0" xfId="2" applyNumberFormat="1" applyFont="1" applyBorder="1" applyAlignment="1"/>
    <xf numFmtId="0" fontId="11" fillId="0" borderId="0" xfId="0" applyFont="1" applyBorder="1" applyAlignment="1"/>
    <xf numFmtId="0" fontId="11" fillId="5" borderId="1" xfId="4" applyNumberFormat="1" applyFont="1" applyBorder="1" applyAlignment="1"/>
    <xf numFmtId="164" fontId="11" fillId="5" borderId="1" xfId="4" applyNumberFormat="1" applyFont="1" applyBorder="1" applyAlignment="1"/>
    <xf numFmtId="1" fontId="11" fillId="5" borderId="1" xfId="4" applyNumberFormat="1" applyFont="1" applyBorder="1" applyAlignment="1"/>
    <xf numFmtId="49" fontId="12" fillId="6" borderId="1" xfId="6" applyNumberFormat="1" applyFont="1" applyBorder="1" applyAlignment="1">
      <alignment wrapText="1"/>
    </xf>
    <xf numFmtId="0" fontId="12" fillId="6" borderId="1" xfId="6" applyNumberFormat="1" applyFont="1" applyBorder="1" applyAlignment="1">
      <alignment wrapText="1"/>
    </xf>
    <xf numFmtId="0" fontId="11" fillId="4" borderId="1" xfId="5" applyNumberFormat="1" applyFont="1" applyBorder="1" applyAlignment="1">
      <alignment wrapText="1"/>
    </xf>
    <xf numFmtId="0" fontId="11" fillId="2" borderId="1" xfId="1" applyNumberFormat="1" applyFont="1" applyBorder="1" applyAlignment="1">
      <alignment wrapText="1"/>
    </xf>
    <xf numFmtId="168" fontId="11" fillId="0" borderId="0" xfId="2" applyNumberFormat="1" applyFont="1" applyAlignment="1"/>
    <xf numFmtId="168" fontId="11" fillId="0" borderId="0" xfId="2" applyNumberFormat="1" applyFont="1" applyBorder="1" applyAlignment="1"/>
    <xf numFmtId="49" fontId="11" fillId="0" borderId="0" xfId="0" applyNumberFormat="1" applyFont="1"/>
    <xf numFmtId="0" fontId="11" fillId="5" borderId="2" xfId="4" applyNumberFormat="1" applyFont="1" applyBorder="1"/>
    <xf numFmtId="0" fontId="12" fillId="6" borderId="2" xfId="6" applyFont="1" applyBorder="1"/>
    <xf numFmtId="0" fontId="12" fillId="6" borderId="0" xfId="6" applyFont="1" applyBorder="1"/>
    <xf numFmtId="0" fontId="11" fillId="3" borderId="2" xfId="7" applyNumberFormat="1" applyFont="1" applyBorder="1"/>
    <xf numFmtId="0" fontId="11" fillId="3" borderId="0" xfId="7" applyNumberFormat="1" applyFont="1" applyBorder="1"/>
    <xf numFmtId="0" fontId="11" fillId="4" borderId="2" xfId="5" applyNumberFormat="1" applyFont="1" applyBorder="1"/>
    <xf numFmtId="0" fontId="11" fillId="4" borderId="0" xfId="5" applyNumberFormat="1" applyFont="1" applyBorder="1"/>
    <xf numFmtId="164" fontId="11" fillId="4" borderId="0" xfId="5" applyNumberFormat="1" applyFont="1" applyBorder="1"/>
    <xf numFmtId="1" fontId="11" fillId="4" borderId="0" xfId="5" applyNumberFormat="1" applyFont="1" applyBorder="1"/>
    <xf numFmtId="0" fontId="11" fillId="2" borderId="2" xfId="1" applyNumberFormat="1" applyFont="1" applyBorder="1"/>
    <xf numFmtId="0" fontId="11" fillId="0" borderId="2" xfId="2" applyFont="1" applyBorder="1"/>
    <xf numFmtId="0" fontId="11" fillId="0" borderId="0" xfId="0" applyNumberFormat="1" applyFont="1" applyAlignment="1">
      <alignment wrapText="1"/>
    </xf>
    <xf numFmtId="164" fontId="11" fillId="0" borderId="0" xfId="0" applyNumberFormat="1" applyFont="1" applyAlignment="1">
      <alignment wrapText="1"/>
    </xf>
    <xf numFmtId="1" fontId="11" fillId="0" borderId="0" xfId="0" applyNumberFormat="1" applyFont="1" applyAlignment="1">
      <alignment wrapText="1"/>
    </xf>
    <xf numFmtId="164" fontId="11" fillId="3" borderId="1" xfId="7" applyNumberFormat="1" applyFont="1" applyAlignment="1">
      <alignment wrapText="1"/>
    </xf>
    <xf numFmtId="165" fontId="11" fillId="3" borderId="1" xfId="7" applyNumberFormat="1" applyFont="1" applyAlignment="1">
      <alignment wrapText="1"/>
    </xf>
    <xf numFmtId="166" fontId="11" fillId="3" borderId="1" xfId="7" applyNumberFormat="1" applyFont="1" applyAlignment="1">
      <alignment wrapText="1"/>
    </xf>
    <xf numFmtId="1" fontId="11" fillId="4" borderId="1" xfId="5" applyNumberFormat="1" applyFont="1" applyAlignment="1"/>
    <xf numFmtId="167" fontId="11" fillId="4" borderId="1" xfId="5" applyNumberFormat="1" applyFont="1" applyAlignment="1"/>
    <xf numFmtId="49" fontId="11" fillId="0" borderId="0" xfId="3" applyNumberFormat="1" applyFont="1"/>
    <xf numFmtId="0" fontId="11" fillId="5" borderId="1" xfId="4" applyNumberFormat="1" applyFont="1"/>
    <xf numFmtId="164" fontId="11" fillId="5" borderId="1" xfId="4" applyNumberFormat="1" applyFont="1"/>
    <xf numFmtId="1" fontId="11" fillId="5" borderId="1" xfId="4" applyNumberFormat="1" applyFont="1"/>
    <xf numFmtId="0" fontId="12" fillId="6" borderId="1" xfId="6" applyNumberFormat="1" applyFont="1"/>
    <xf numFmtId="164" fontId="11" fillId="3" borderId="1" xfId="7" applyNumberFormat="1" applyFont="1"/>
    <xf numFmtId="165" fontId="11" fillId="3" borderId="1" xfId="7" applyNumberFormat="1" applyFont="1"/>
    <xf numFmtId="0" fontId="11" fillId="3" borderId="1" xfId="7" applyNumberFormat="1" applyFont="1"/>
    <xf numFmtId="166" fontId="11" fillId="3" borderId="1" xfId="7" applyNumberFormat="1" applyFont="1"/>
    <xf numFmtId="0" fontId="11" fillId="2" borderId="1" xfId="1" applyNumberFormat="1" applyFont="1"/>
    <xf numFmtId="0" fontId="11" fillId="0" borderId="0" xfId="2" applyNumberFormat="1" applyFont="1"/>
    <xf numFmtId="49" fontId="11" fillId="0" borderId="0" xfId="3" applyNumberFormat="1" applyFont="1" applyBorder="1"/>
    <xf numFmtId="0" fontId="11" fillId="5" borderId="11" xfId="4" applyNumberFormat="1" applyFont="1" applyBorder="1"/>
    <xf numFmtId="164" fontId="11" fillId="5" borderId="11" xfId="4" applyNumberFormat="1" applyFont="1" applyBorder="1"/>
    <xf numFmtId="1" fontId="11" fillId="5" borderId="11" xfId="4" applyNumberFormat="1" applyFont="1" applyBorder="1"/>
    <xf numFmtId="49" fontId="12" fillId="6" borderId="11" xfId="6" applyNumberFormat="1" applyFont="1" applyBorder="1"/>
    <xf numFmtId="0" fontId="12" fillId="6" borderId="11" xfId="6" applyNumberFormat="1" applyFont="1" applyBorder="1"/>
    <xf numFmtId="164" fontId="11" fillId="3" borderId="11" xfId="7" applyNumberFormat="1" applyFont="1" applyBorder="1"/>
    <xf numFmtId="165" fontId="11" fillId="3" borderId="11" xfId="7" applyNumberFormat="1" applyFont="1" applyBorder="1"/>
    <xf numFmtId="166" fontId="11"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0" fontId="11" fillId="2" borderId="11" xfId="1" applyNumberFormat="1" applyFont="1" applyBorder="1"/>
    <xf numFmtId="0" fontId="11" fillId="0" borderId="0" xfId="2" applyNumberFormat="1" applyFont="1" applyBorder="1"/>
    <xf numFmtId="0" fontId="11" fillId="5" borderId="1" xfId="4" applyNumberFormat="1" applyFont="1" applyBorder="1"/>
    <xf numFmtId="164" fontId="11" fillId="5" borderId="1" xfId="4" applyNumberFormat="1" applyFont="1" applyBorder="1"/>
    <xf numFmtId="1" fontId="11" fillId="5" borderId="1" xfId="4" applyNumberFormat="1" applyFont="1" applyBorder="1"/>
    <xf numFmtId="49" fontId="12" fillId="6" borderId="1" xfId="6" applyNumberFormat="1" applyFont="1" applyBorder="1"/>
    <xf numFmtId="0" fontId="12" fillId="6" borderId="1" xfId="6" applyNumberFormat="1" applyFont="1" applyBorder="1"/>
    <xf numFmtId="164" fontId="11" fillId="3" borderId="1" xfId="7" applyNumberFormat="1" applyFont="1" applyBorder="1"/>
    <xf numFmtId="165" fontId="11" fillId="3" borderId="1" xfId="7" applyNumberFormat="1" applyFont="1" applyBorder="1"/>
    <xf numFmtId="166" fontId="11" fillId="3" borderId="1" xfId="7" applyNumberFormat="1" applyFont="1" applyBorder="1"/>
    <xf numFmtId="1" fontId="11" fillId="4" borderId="1" xfId="5" applyNumberFormat="1" applyFont="1" applyBorder="1" applyAlignment="1"/>
    <xf numFmtId="167" fontId="11" fillId="4" borderId="1" xfId="5" applyNumberFormat="1" applyFont="1" applyBorder="1" applyAlignment="1"/>
    <xf numFmtId="0" fontId="11" fillId="2" borderId="1" xfId="1" applyNumberFormat="1" applyFont="1" applyBorder="1"/>
    <xf numFmtId="0" fontId="11" fillId="10" borderId="0" xfId="2" applyNumberFormat="1" applyFont="1" applyFill="1" applyAlignment="1"/>
    <xf numFmtId="168" fontId="11" fillId="0" borderId="0" xfId="2" applyNumberFormat="1" applyFont="1" applyFill="1" applyAlignment="1"/>
    <xf numFmtId="0" fontId="0" fillId="0" borderId="0" xfId="0" applyAlignment="1"/>
    <xf numFmtId="0" fontId="5" fillId="5" borderId="1" xfId="8" applyNumberFormat="1" applyAlignment="1"/>
    <xf numFmtId="1" fontId="5" fillId="4" borderId="1" xfId="5" applyNumberFormat="1" applyAlignment="1"/>
    <xf numFmtId="167" fontId="5" fillId="4" borderId="1" xfId="5" applyNumberFormat="1" applyAlignment="1"/>
    <xf numFmtId="0" fontId="0" fillId="5" borderId="1" xfId="4" applyNumberFormat="1" applyFont="1" applyAlignment="1"/>
    <xf numFmtId="0" fontId="0" fillId="0" borderId="0" xfId="0" quotePrefix="1" applyAlignment="1"/>
    <xf numFmtId="0" fontId="0" fillId="0" borderId="0" xfId="3" applyFont="1" applyAlignment="1"/>
    <xf numFmtId="0" fontId="0" fillId="0" borderId="0" xfId="3" applyFont="1" applyAlignment="1">
      <alignment wrapText="1"/>
    </xf>
    <xf numFmtId="0" fontId="5" fillId="4" borderId="1" xfId="5" applyNumberFormat="1" applyAlignment="1">
      <alignment wrapText="1"/>
    </xf>
    <xf numFmtId="49" fontId="0" fillId="0" borderId="7" xfId="3" applyNumberFormat="1" applyFont="1" applyBorder="1" applyAlignment="1"/>
    <xf numFmtId="0" fontId="0" fillId="5" borderId="1" xfId="4" applyNumberFormat="1" applyFont="1" applyBorder="1"/>
    <xf numFmtId="0" fontId="0" fillId="5" borderId="12" xfId="4" applyNumberFormat="1" applyFont="1" applyBorder="1"/>
    <xf numFmtId="49" fontId="6" fillId="6" borderId="12" xfId="6" applyNumberFormat="1" applyBorder="1"/>
    <xf numFmtId="0" fontId="0" fillId="3" borderId="12" xfId="7" applyNumberFormat="1" applyFont="1" applyBorder="1"/>
    <xf numFmtId="0" fontId="0" fillId="2" borderId="12" xfId="1" applyNumberFormat="1" applyFont="1" applyBorder="1"/>
    <xf numFmtId="0" fontId="5" fillId="2" borderId="12" xfId="1" applyNumberFormat="1" applyBorder="1"/>
    <xf numFmtId="0" fontId="0" fillId="0" borderId="7" xfId="3" applyFont="1" applyBorder="1" applyAlignment="1"/>
    <xf numFmtId="0" fontId="0" fillId="0" borderId="0" xfId="3" applyFont="1" applyBorder="1" applyAlignment="1"/>
    <xf numFmtId="0" fontId="0" fillId="0" borderId="0" xfId="0" applyBorder="1" applyAlignment="1">
      <alignment wrapText="1"/>
    </xf>
    <xf numFmtId="0" fontId="13" fillId="5" borderId="11" xfId="4" applyNumberFormat="1" applyFont="1" applyBorder="1"/>
    <xf numFmtId="0" fontId="0" fillId="5" borderId="11" xfId="4" applyNumberFormat="1" applyFont="1" applyBorder="1"/>
    <xf numFmtId="49" fontId="6" fillId="6" borderId="11" xfId="6" applyNumberFormat="1" applyBorder="1"/>
    <xf numFmtId="0" fontId="0" fillId="3" borderId="11" xfId="7" applyNumberFormat="1" applyFont="1" applyBorder="1"/>
    <xf numFmtId="0" fontId="13" fillId="2" borderId="11" xfId="1" applyNumberFormat="1" applyFont="1" applyBorder="1"/>
    <xf numFmtId="0" fontId="0" fillId="2" borderId="11" xfId="1" applyNumberFormat="1" applyFont="1" applyBorder="1"/>
    <xf numFmtId="1" fontId="5" fillId="4" borderId="11" xfId="5" applyNumberFormat="1" applyBorder="1" applyAlignment="1"/>
    <xf numFmtId="167" fontId="5" fillId="4" borderId="11" xfId="5" applyNumberFormat="1" applyBorder="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14">
    <dxf>
      <alignment horizontal="general" vertical="bottom" textRotation="0" wrapText="0" indent="0" justifyLastLine="0" shrinkToFit="0" readingOrder="0"/>
    </dxf>
    <dxf>
      <alignment horizontal="general" vertical="bottom" textRotation="0" wrapText="0" indent="0" justifyLastLine="0" shrinkToFit="0" readingOrder="0"/>
    </dxf>
    <dxf>
      <font>
        <strike val="0"/>
        <outline val="0"/>
        <shadow val="0"/>
        <u val="none"/>
        <vertAlign val="baseline"/>
        <sz val="8"/>
        <name val="Calibri"/>
        <scheme val="minor"/>
      </font>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strike val="0"/>
        <outline val="0"/>
        <shadow val="0"/>
        <u val="none"/>
        <vertAlign val="baseline"/>
        <sz val="8"/>
        <name val="Calibri"/>
        <scheme val="minor"/>
      </font>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border diagonalUp="0" diagonalDown="0" outline="0">
        <left style="thin">
          <color theme="0"/>
        </left>
        <right style="thin">
          <color theme="0"/>
        </right>
        <top style="thin">
          <color theme="0"/>
        </top>
        <bottom style="thin">
          <color theme="0"/>
        </bottom>
      </border>
    </dxf>
    <dxf>
      <numFmt numFmtId="0" formatCode="General"/>
      <alignment horizontal="general" vertical="bottom" textRotation="0" wrapText="0" indent="0" justifyLastLine="0" shrinkToFit="0" readingOrder="0"/>
      <border outline="0">
        <right style="thin">
          <color theme="0"/>
        </right>
      </border>
    </dxf>
    <dxf>
      <numFmt numFmtId="30" formatCode="@"/>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border outline="0">
        <left/>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numFmt numFmtId="30" formatCode="@"/>
    </dxf>
    <dxf>
      <numFmt numFmtId="30" formatCode="@"/>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0" formatCode="General"/>
      <border outline="0">
        <right style="thin">
          <color theme="0"/>
        </right>
      </border>
    </dxf>
    <dxf>
      <font>
        <b val="0"/>
        <i val="0"/>
        <strike val="0"/>
        <condense val="0"/>
        <extend val="0"/>
        <outline val="0"/>
        <shadow val="0"/>
        <u val="none"/>
        <vertAlign val="baseline"/>
        <sz val="11"/>
        <color theme="1"/>
        <name val="Calibri"/>
        <scheme val="minor"/>
      </font>
      <numFmt numFmtId="0" formatCode="General"/>
    </dxf>
    <dxf>
      <numFmt numFmtId="30" formatCode="@"/>
    </dxf>
    <dxf>
      <alignment horizontal="general" vertical="bottom" textRotation="0" wrapText="1" indent="0" justifyLastLine="0" shrinkToFit="0" readingOrder="0"/>
    </dxf>
    <dxf>
      <font>
        <strike val="0"/>
        <outline val="0"/>
        <shadow val="0"/>
        <u val="none"/>
        <vertAlign val="baseline"/>
        <sz val="8"/>
        <name val="Calibri"/>
        <scheme val="minor"/>
      </font>
      <numFmt numFmtId="0" formatCode="General"/>
    </dxf>
    <dxf>
      <font>
        <strike val="0"/>
        <outline val="0"/>
        <shadow val="0"/>
        <u val="none"/>
        <vertAlign val="baseline"/>
        <sz val="8"/>
        <name val="Calibri"/>
        <scheme val="minor"/>
      </font>
      <numFmt numFmtId="0" formatCode="General"/>
    </dxf>
    <dxf>
      <font>
        <strike val="0"/>
        <outline val="0"/>
        <shadow val="0"/>
        <u val="none"/>
        <vertAlign val="baseline"/>
        <sz val="8"/>
        <name val="Calibri"/>
        <scheme val="minor"/>
      </font>
      <numFmt numFmtId="167" formatCode="0.000"/>
      <alignment horizontal="general" vertical="bottom" textRotation="0" wrapText="0" relativeIndent="0" justifyLastLine="0" shrinkToFit="0" readingOrder="0"/>
      <border outline="0">
        <left style="thin">
          <color theme="0"/>
        </lef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left style="thin">
          <color theme="0"/>
        </left>
        <right style="thin">
          <color theme="0"/>
        </right>
      </border>
    </dxf>
    <dxf>
      <numFmt numFmtId="167" formatCode="0.000"/>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border outline="0">
        <right style="thin">
          <color theme="0"/>
        </right>
      </border>
    </dxf>
    <dxf>
      <numFmt numFmtId="167" formatCode="0.00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8"/>
        <color theme="1"/>
        <name val="Calibri"/>
        <scheme val="minor"/>
      </font>
      <numFmt numFmtId="1" formatCode="0"/>
      <alignment horizontal="general" vertical="bottom" textRotation="0" wrapText="0" relativeIndent="0" justifyLastLine="0" shrinkToFit="0" readingOrder="0"/>
      <border outline="0">
        <right style="thin">
          <color theme="0"/>
        </right>
      </border>
    </dxf>
    <dxf>
      <font>
        <b val="0"/>
        <i val="0"/>
        <strike val="0"/>
        <condense val="0"/>
        <extend val="0"/>
        <outline val="0"/>
        <shadow val="0"/>
        <u val="none"/>
        <vertAlign val="baseline"/>
        <sz val="8"/>
        <color theme="1"/>
        <name val="Calibri"/>
        <scheme val="minor"/>
      </font>
      <numFmt numFmtId="1" formatCode="0"/>
      <alignment horizontal="general" vertical="bottom" textRotation="0" wrapText="0" relativeIndent="0" justifyLastLine="0" shrinkToFit="0" readingOrder="0"/>
      <border outline="0">
        <left style="thin">
          <color theme="0"/>
        </left>
      </border>
    </dxf>
    <dxf>
      <numFmt numFmtId="1" formatCode="0"/>
      <alignment horizontal="general" vertical="bottom" textRotation="0" wrapText="0" indent="0" justifyLastLine="0" shrinkToFit="0" readingOrder="0"/>
    </dxf>
    <dxf>
      <font>
        <strike val="0"/>
        <outline val="0"/>
        <shadow val="0"/>
        <u val="none"/>
        <vertAlign val="baseline"/>
        <sz val="8"/>
        <name val="Calibri"/>
        <scheme val="minor"/>
      </font>
      <numFmt numFmtId="166" formatCode="#,##0.000"/>
      <border outline="0">
        <right style="thin">
          <color theme="0"/>
        </right>
      </border>
    </dxf>
    <dxf>
      <font>
        <strike val="0"/>
        <outline val="0"/>
        <shadow val="0"/>
        <u val="none"/>
        <vertAlign val="baseline"/>
        <sz val="8"/>
        <name val="Calibri"/>
        <scheme val="minor"/>
      </font>
      <numFmt numFmtId="166" formatCode="#,##0.000"/>
    </dxf>
    <dxf>
      <font>
        <strike val="0"/>
        <outline val="0"/>
        <shadow val="0"/>
        <u val="none"/>
        <vertAlign val="baseline"/>
        <sz val="8"/>
        <name val="Calibri"/>
        <scheme val="minor"/>
      </font>
      <numFmt numFmtId="0" formatCode="General"/>
    </dxf>
    <dxf>
      <font>
        <strike val="0"/>
        <outline val="0"/>
        <shadow val="0"/>
        <u val="none"/>
        <vertAlign val="baseline"/>
        <sz val="8"/>
        <name val="Calibri"/>
        <scheme val="minor"/>
      </font>
      <numFmt numFmtId="165" formatCode="#,##0.0"/>
    </dxf>
    <dxf>
      <font>
        <strike val="0"/>
        <outline val="0"/>
        <shadow val="0"/>
        <u val="none"/>
        <vertAlign val="baseline"/>
        <sz val="8"/>
        <name val="Calibri"/>
        <scheme val="minor"/>
      </font>
      <numFmt numFmtId="165" formatCode="#,##0.0"/>
    </dxf>
    <dxf>
      <font>
        <strike val="0"/>
        <outline val="0"/>
        <shadow val="0"/>
        <u val="none"/>
        <vertAlign val="baseline"/>
        <sz val="8"/>
        <name val="Calibri"/>
        <scheme val="minor"/>
      </font>
      <numFmt numFmtId="164" formatCode="0.0"/>
    </dxf>
    <dxf>
      <font>
        <strike val="0"/>
        <outline val="0"/>
        <shadow val="0"/>
        <u val="none"/>
        <vertAlign val="baseline"/>
        <sz val="8"/>
        <name val="Calibri"/>
        <scheme val="minor"/>
      </font>
      <numFmt numFmtId="30" formatCode="@"/>
    </dxf>
    <dxf>
      <font>
        <strike val="0"/>
        <outline val="0"/>
        <shadow val="0"/>
        <u val="none"/>
        <vertAlign val="baseline"/>
        <sz val="8"/>
        <name val="Calibri"/>
        <scheme val="minor"/>
      </font>
      <numFmt numFmtId="0" formatCode="General"/>
    </dxf>
    <dxf>
      <font>
        <strike val="0"/>
        <outline val="0"/>
        <shadow val="0"/>
        <u val="none"/>
        <vertAlign val="baseline"/>
        <sz val="8"/>
        <name val="Calibri"/>
        <scheme val="minor"/>
      </font>
      <numFmt numFmtId="0" formatCode="General"/>
    </dxf>
    <dxf>
      <font>
        <strike val="0"/>
        <outline val="0"/>
        <shadow val="0"/>
        <u val="none"/>
        <vertAlign val="baseline"/>
        <sz val="8"/>
        <name val="Calibri"/>
        <scheme val="minor"/>
      </font>
      <numFmt numFmtId="30" formatCode="@"/>
    </dxf>
    <dxf>
      <font>
        <strike val="0"/>
        <outline val="0"/>
        <shadow val="0"/>
        <u val="none"/>
        <vertAlign val="baseline"/>
        <sz val="8"/>
        <name val="Calibri"/>
        <scheme val="minor"/>
      </font>
      <numFmt numFmtId="0" formatCode="General"/>
    </dxf>
    <dxf>
      <font>
        <strike val="0"/>
        <outline val="0"/>
        <shadow val="0"/>
        <u val="none"/>
        <vertAlign val="baseline"/>
        <sz val="8"/>
        <name val="Calibri"/>
        <scheme val="minor"/>
      </font>
      <numFmt numFmtId="0" formatCode="General"/>
    </dxf>
    <dxf>
      <font>
        <strike val="0"/>
        <outline val="0"/>
        <shadow val="0"/>
        <u val="none"/>
        <vertAlign val="baseline"/>
        <sz val="8"/>
        <name val="Calibri"/>
        <scheme val="minor"/>
      </font>
      <numFmt numFmtId="1" formatCode="0"/>
    </dxf>
    <dxf>
      <font>
        <strike val="0"/>
        <outline val="0"/>
        <shadow val="0"/>
        <u val="none"/>
        <vertAlign val="baseline"/>
        <sz val="8"/>
        <name val="Calibri"/>
        <scheme val="minor"/>
      </font>
      <numFmt numFmtId="164" formatCode="0.0"/>
    </dxf>
    <dxf>
      <font>
        <strike val="0"/>
        <outline val="0"/>
        <shadow val="0"/>
        <u val="none"/>
        <vertAlign val="baseline"/>
        <sz val="8"/>
        <name val="Calibri"/>
        <scheme val="minor"/>
      </font>
      <numFmt numFmtId="0" formatCode="General"/>
    </dxf>
    <dxf>
      <font>
        <strike val="0"/>
        <outline val="0"/>
        <shadow val="0"/>
        <u val="none"/>
        <vertAlign val="baseline"/>
        <sz val="8"/>
        <name val="Calibri"/>
        <scheme val="minor"/>
      </font>
      <numFmt numFmtId="0" formatCode="General"/>
    </dxf>
    <dxf>
      <font>
        <strike val="0"/>
        <outline val="0"/>
        <shadow val="0"/>
        <u val="none"/>
        <vertAlign val="baseline"/>
        <sz val="8"/>
        <name val="Calibri"/>
        <scheme val="minor"/>
      </font>
      <numFmt numFmtId="30" formatCode="@"/>
    </dxf>
    <dxf>
      <font>
        <strike val="0"/>
        <outline val="0"/>
        <shadow val="0"/>
        <u val="none"/>
        <vertAlign val="baseline"/>
        <sz val="8"/>
        <name val="Calibri"/>
        <scheme val="minor"/>
      </font>
      <numFmt numFmtId="30" formatCode="@"/>
    </dxf>
    <dxf>
      <font>
        <strike val="0"/>
        <outline val="0"/>
        <shadow val="0"/>
        <u val="none"/>
        <vertAlign val="baseline"/>
        <sz val="8"/>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68" formatCode="dd/mm/yy;@"/>
      <alignment horizontal="general"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168" formatCode="dd/mm/yy;@"/>
      <alignment horizontal="general"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0" formatCode="General"/>
      <alignment horizontal="general" vertical="bottom" textRotation="0" wrapText="0" indent="0" justifyLastLine="0" shrinkToFit="0" readingOrder="0"/>
    </dxf>
    <dxf>
      <font>
        <strike val="0"/>
        <outline val="0"/>
        <shadow val="0"/>
        <u val="none"/>
        <vertAlign val="baseline"/>
        <sz val="8"/>
        <name val="Calibri"/>
        <scheme val="min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8"/>
        <color theme="1"/>
        <name val="Calibri"/>
        <scheme val="minor"/>
      </font>
      <numFmt numFmtId="0" formatCode="General"/>
      <alignment horizontal="general" vertical="bottom" textRotation="0" wrapText="1" relativeIndent="0" justifyLastLine="0" shrinkToFit="0" readingOrder="0"/>
    </dxf>
    <dxf>
      <font>
        <strike val="0"/>
        <outline val="0"/>
        <shadow val="0"/>
        <u val="none"/>
        <vertAlign val="baseline"/>
        <sz val="8"/>
        <name val="Calibri"/>
        <scheme val="minor"/>
      </font>
      <numFmt numFmtId="0" formatCode="General"/>
      <alignment horizontal="general" vertical="bottom" textRotation="0" wrapText="1" relativeIndent="0" justifyLastLine="0" shrinkToFit="0" readingOrder="0"/>
    </dxf>
    <dxf>
      <font>
        <strike val="0"/>
        <outline val="0"/>
        <shadow val="0"/>
        <u val="none"/>
        <vertAlign val="baseline"/>
        <sz val="8"/>
        <name val="Calibri"/>
        <scheme val="minor"/>
      </font>
      <numFmt numFmtId="0" formatCode="General"/>
      <alignment horizontal="general" vertical="bottom" textRotation="0" wrapText="1" indent="0" justifyLastLine="0" shrinkToFit="0" readingOrder="0"/>
    </dxf>
    <dxf>
      <font>
        <strike val="0"/>
        <outline val="0"/>
        <shadow val="0"/>
        <u val="none"/>
        <vertAlign val="baseline"/>
        <sz val="8"/>
        <name val="Calibri"/>
        <scheme val="minor"/>
      </font>
      <numFmt numFmtId="0" formatCode="General"/>
      <alignment horizontal="general" vertical="bottom" textRotation="0" wrapText="1" indent="0" justifyLastLine="0" shrinkToFit="0" readingOrder="0"/>
    </dxf>
    <dxf>
      <font>
        <strike val="0"/>
        <outline val="0"/>
        <shadow val="0"/>
        <u val="none"/>
        <vertAlign val="baseline"/>
        <sz val="8"/>
        <name val="Calibri"/>
        <scheme val="minor"/>
      </font>
      <numFmt numFmtId="30" formatCode="@"/>
      <alignment horizontal="general" vertical="bottom" textRotation="0" wrapText="1" indent="0" justifyLastLine="0" shrinkToFit="0" readingOrder="0"/>
    </dxf>
    <dxf>
      <font>
        <strike val="0"/>
        <outline val="0"/>
        <shadow val="0"/>
        <u val="none"/>
        <vertAlign val="baseline"/>
        <sz val="8"/>
        <name val="Calibri"/>
        <scheme val="minor"/>
      </font>
      <numFmt numFmtId="0" formatCode="General"/>
      <alignment horizontal="general" vertical="bottom" textRotation="0" wrapText="0" indent="0" justifyLastLine="0" shrinkToFit="0" readingOrder="0"/>
    </dxf>
    <dxf>
      <font>
        <strike val="0"/>
        <outline val="0"/>
        <shadow val="0"/>
        <u val="none"/>
        <vertAlign val="baseline"/>
        <sz val="8"/>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8"/>
        <color theme="1"/>
        <name val="Calibri"/>
        <scheme val="minor"/>
      </font>
      <numFmt numFmtId="0" formatCode="General"/>
      <alignment horizontal="general" vertical="bottom" textRotation="0" wrapText="0" indent="0" justifyLastLine="0" shrinkToFit="0" readingOrder="0"/>
    </dxf>
    <dxf>
      <font>
        <strike val="0"/>
        <outline val="0"/>
        <shadow val="0"/>
        <u val="none"/>
        <vertAlign val="baseline"/>
        <sz val="8"/>
        <name val="Calibri"/>
        <scheme val="minor"/>
      </font>
      <numFmt numFmtId="164" formatCode="0.0"/>
      <alignment horizontal="general" vertical="bottom" textRotation="0" wrapText="0" indent="0" justifyLastLine="0" shrinkToFit="0" readingOrder="0"/>
    </dxf>
    <dxf>
      <font>
        <strike val="0"/>
        <outline val="0"/>
        <shadow val="0"/>
        <u val="none"/>
        <vertAlign val="baseline"/>
        <sz val="8"/>
        <name val="Calibri"/>
        <scheme val="minor"/>
      </font>
      <numFmt numFmtId="0" formatCode="General"/>
      <alignment horizontal="general" vertical="bottom" textRotation="0" wrapText="0" indent="0" justifyLastLine="0" shrinkToFit="0" readingOrder="0"/>
    </dxf>
    <dxf>
      <font>
        <strike val="0"/>
        <outline val="0"/>
        <shadow val="0"/>
        <u val="none"/>
        <vertAlign val="baseline"/>
        <sz val="8"/>
        <name val="Calibri"/>
        <scheme val="minor"/>
      </font>
      <numFmt numFmtId="30" formatCode="@"/>
      <alignment horizontal="general" vertical="bottom" textRotation="0" wrapText="0" indent="0" justifyLastLine="0" shrinkToFit="0" readingOrder="0"/>
    </dxf>
    <dxf>
      <font>
        <strike val="0"/>
        <outline val="0"/>
        <shadow val="0"/>
        <u val="none"/>
        <vertAlign val="baseline"/>
        <sz val="8"/>
        <name val="Calibri"/>
        <scheme val="minor"/>
      </font>
      <numFmt numFmtId="30" formatCode="@"/>
      <alignment horizontal="general" vertical="bottom" textRotation="0" wrapText="0" indent="0" justifyLastLine="0" shrinkToFit="0" readingOrder="0"/>
    </dxf>
    <dxf>
      <font>
        <strike val="0"/>
        <outline val="0"/>
        <shadow val="0"/>
        <u val="none"/>
        <vertAlign val="baseline"/>
        <sz val="8"/>
        <name val="Calibri"/>
        <scheme val="minor"/>
      </font>
      <alignment horizontal="general" vertical="bottom" textRotation="0" wrapText="1" indent="0" justifyLastLine="0" shrinkToFit="0" readingOrder="0"/>
    </dxf>
    <dxf>
      <font>
        <strike val="0"/>
        <outline val="0"/>
        <shadow val="0"/>
        <u val="none"/>
        <vertAlign val="baseline"/>
        <sz val="8"/>
        <name val="Calibri"/>
        <scheme val="minor"/>
      </font>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13"/>
      <tableStyleElement type="headerRow" dxfId="112"/>
    </tableStyle>
    <tableStyle name="NodeXL Table" pivot="0" count="1" xr9:uid="{00000000-0011-0000-FFFF-FFFF01000000}">
      <tableStyleElement type="headerRow" dxfId="1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101</c:v>
                </c:pt>
              </c:strCache>
            </c:strRef>
          </c:tx>
          <c:spPr>
            <a:solidFill>
              <a:schemeClr val="accent1"/>
            </a:solidFill>
          </c:spPr>
          <c:invertIfNegative val="0"/>
          <c:cat>
            <c:numRef>
              <c:f>'Overall Metrics'!$D$2:$D$57</c:f>
              <c:numCache>
                <c:formatCode>#,##0.00</c:formatCode>
                <c:ptCount val="56"/>
                <c:pt idx="0">
                  <c:v>1</c:v>
                </c:pt>
                <c:pt idx="1">
                  <c:v>1.3454545454545455</c:v>
                </c:pt>
                <c:pt idx="2">
                  <c:v>1.6909090909090909</c:v>
                </c:pt>
                <c:pt idx="3">
                  <c:v>2.0363636363636362</c:v>
                </c:pt>
                <c:pt idx="4">
                  <c:v>2.3818181818181818</c:v>
                </c:pt>
                <c:pt idx="5">
                  <c:v>2.7272727272727275</c:v>
                </c:pt>
                <c:pt idx="6">
                  <c:v>3.0727272727272732</c:v>
                </c:pt>
                <c:pt idx="7">
                  <c:v>3.4181818181818189</c:v>
                </c:pt>
                <c:pt idx="8">
                  <c:v>3.7636363636363646</c:v>
                </c:pt>
                <c:pt idx="9">
                  <c:v>4.1090909090909102</c:v>
                </c:pt>
                <c:pt idx="10">
                  <c:v>4.4545454545454559</c:v>
                </c:pt>
                <c:pt idx="11">
                  <c:v>4.8000000000000016</c:v>
                </c:pt>
                <c:pt idx="12">
                  <c:v>5.1454545454545473</c:v>
                </c:pt>
                <c:pt idx="13">
                  <c:v>5.490909090909093</c:v>
                </c:pt>
                <c:pt idx="14">
                  <c:v>5.8363636363636386</c:v>
                </c:pt>
                <c:pt idx="15">
                  <c:v>6.1818181818181843</c:v>
                </c:pt>
                <c:pt idx="16">
                  <c:v>6.52727272727273</c:v>
                </c:pt>
                <c:pt idx="17">
                  <c:v>6.8727272727272757</c:v>
                </c:pt>
                <c:pt idx="18">
                  <c:v>7.2181818181818214</c:v>
                </c:pt>
                <c:pt idx="19">
                  <c:v>7.563636363636367</c:v>
                </c:pt>
                <c:pt idx="20">
                  <c:v>7.9090909090909127</c:v>
                </c:pt>
                <c:pt idx="21">
                  <c:v>8.2545454545454575</c:v>
                </c:pt>
                <c:pt idx="22">
                  <c:v>8.6000000000000032</c:v>
                </c:pt>
                <c:pt idx="23">
                  <c:v>8.9454545454545489</c:v>
                </c:pt>
                <c:pt idx="24">
                  <c:v>9.2909090909090946</c:v>
                </c:pt>
                <c:pt idx="26">
                  <c:v>9.6363636363636402</c:v>
                </c:pt>
                <c:pt idx="38">
                  <c:v>9.9818181818181859</c:v>
                </c:pt>
                <c:pt idx="39">
                  <c:v>10.327272727272732</c:v>
                </c:pt>
                <c:pt idx="40">
                  <c:v>10.672727272727277</c:v>
                </c:pt>
                <c:pt idx="41">
                  <c:v>11.018181818181823</c:v>
                </c:pt>
                <c:pt idx="42">
                  <c:v>11.363636363636369</c:v>
                </c:pt>
                <c:pt idx="43">
                  <c:v>11.709090909090914</c:v>
                </c:pt>
                <c:pt idx="44">
                  <c:v>12.05454545454546</c:v>
                </c:pt>
                <c:pt idx="45">
                  <c:v>12.400000000000006</c:v>
                </c:pt>
                <c:pt idx="46">
                  <c:v>12.745454545454551</c:v>
                </c:pt>
                <c:pt idx="47">
                  <c:v>13.090909090909097</c:v>
                </c:pt>
                <c:pt idx="48">
                  <c:v>13.436363636363643</c:v>
                </c:pt>
                <c:pt idx="49">
                  <c:v>13.781818181818188</c:v>
                </c:pt>
                <c:pt idx="50">
                  <c:v>14.127272727272734</c:v>
                </c:pt>
                <c:pt idx="51">
                  <c:v>14.47272727272728</c:v>
                </c:pt>
                <c:pt idx="52">
                  <c:v>14.818181818181825</c:v>
                </c:pt>
                <c:pt idx="53">
                  <c:v>15.163636363636371</c:v>
                </c:pt>
                <c:pt idx="54">
                  <c:v>15.509090909090917</c:v>
                </c:pt>
                <c:pt idx="55">
                  <c:v>20</c:v>
                </c:pt>
              </c:numCache>
            </c:numRef>
          </c:cat>
          <c:val>
            <c:numRef>
              <c:f>'Overall Metrics'!$E$2:$E$57</c:f>
              <c:numCache>
                <c:formatCode>General</c:formatCode>
                <c:ptCount val="56"/>
                <c:pt idx="0">
                  <c:v>101</c:v>
                </c:pt>
                <c:pt idx="1">
                  <c:v>0</c:v>
                </c:pt>
                <c:pt idx="2">
                  <c:v>44</c:v>
                </c:pt>
                <c:pt idx="3">
                  <c:v>0</c:v>
                </c:pt>
                <c:pt idx="4">
                  <c:v>0</c:v>
                </c:pt>
                <c:pt idx="5">
                  <c:v>19</c:v>
                </c:pt>
                <c:pt idx="6">
                  <c:v>0</c:v>
                </c:pt>
                <c:pt idx="7">
                  <c:v>0</c:v>
                </c:pt>
                <c:pt idx="8">
                  <c:v>5</c:v>
                </c:pt>
                <c:pt idx="9">
                  <c:v>0</c:v>
                </c:pt>
                <c:pt idx="10">
                  <c:v>0</c:v>
                </c:pt>
                <c:pt idx="11">
                  <c:v>6</c:v>
                </c:pt>
                <c:pt idx="12">
                  <c:v>0</c:v>
                </c:pt>
                <c:pt idx="13">
                  <c:v>0</c:v>
                </c:pt>
                <c:pt idx="14">
                  <c:v>8</c:v>
                </c:pt>
                <c:pt idx="15">
                  <c:v>0</c:v>
                </c:pt>
                <c:pt idx="16">
                  <c:v>0</c:v>
                </c:pt>
                <c:pt idx="17">
                  <c:v>5</c:v>
                </c:pt>
                <c:pt idx="18">
                  <c:v>0</c:v>
                </c:pt>
                <c:pt idx="19">
                  <c:v>0</c:v>
                </c:pt>
                <c:pt idx="20">
                  <c:v>5</c:v>
                </c:pt>
                <c:pt idx="21">
                  <c:v>0</c:v>
                </c:pt>
                <c:pt idx="22">
                  <c:v>0</c:v>
                </c:pt>
                <c:pt idx="23">
                  <c:v>5</c:v>
                </c:pt>
                <c:pt idx="24">
                  <c:v>0</c:v>
                </c:pt>
                <c:pt idx="25">
                  <c:v>-15</c:v>
                </c:pt>
                <c:pt idx="26">
                  <c:v>0</c:v>
                </c:pt>
                <c:pt idx="27">
                  <c:v>0</c:v>
                </c:pt>
                <c:pt idx="28">
                  <c:v>0</c:v>
                </c:pt>
                <c:pt idx="29">
                  <c:v>0</c:v>
                </c:pt>
                <c:pt idx="30">
                  <c:v>0</c:v>
                </c:pt>
                <c:pt idx="31">
                  <c:v>0</c:v>
                </c:pt>
                <c:pt idx="32">
                  <c:v>0</c:v>
                </c:pt>
                <c:pt idx="33">
                  <c:v>0</c:v>
                </c:pt>
                <c:pt idx="34">
                  <c:v>0</c:v>
                </c:pt>
                <c:pt idx="35">
                  <c:v>0</c:v>
                </c:pt>
                <c:pt idx="36">
                  <c:v>-15</c:v>
                </c:pt>
                <c:pt idx="37">
                  <c:v>-15</c:v>
                </c:pt>
                <c:pt idx="38">
                  <c:v>3</c:v>
                </c:pt>
                <c:pt idx="39">
                  <c:v>0</c:v>
                </c:pt>
                <c:pt idx="40">
                  <c:v>2</c:v>
                </c:pt>
                <c:pt idx="41">
                  <c:v>0</c:v>
                </c:pt>
                <c:pt idx="42">
                  <c:v>0</c:v>
                </c:pt>
                <c:pt idx="43">
                  <c:v>3</c:v>
                </c:pt>
                <c:pt idx="44">
                  <c:v>0</c:v>
                </c:pt>
                <c:pt idx="45">
                  <c:v>0</c:v>
                </c:pt>
                <c:pt idx="46">
                  <c:v>2</c:v>
                </c:pt>
                <c:pt idx="47">
                  <c:v>0</c:v>
                </c:pt>
                <c:pt idx="48">
                  <c:v>0</c:v>
                </c:pt>
                <c:pt idx="49">
                  <c:v>2</c:v>
                </c:pt>
                <c:pt idx="50">
                  <c:v>0</c:v>
                </c:pt>
                <c:pt idx="51">
                  <c:v>0</c:v>
                </c:pt>
                <c:pt idx="52">
                  <c:v>2</c:v>
                </c:pt>
                <c:pt idx="53">
                  <c:v>0</c:v>
                </c:pt>
                <c:pt idx="54">
                  <c:v>0</c:v>
                </c:pt>
                <c:pt idx="55">
                  <c:v>1</c:v>
                </c:pt>
              </c:numCache>
            </c:numRef>
          </c:val>
          <c:extLst>
            <c:ext xmlns:c16="http://schemas.microsoft.com/office/drawing/2014/chart" uri="{C3380CC4-5D6E-409C-BE32-E72D297353CC}">
              <c16:uniqueId val="{00000000-AB3D-41B9-96C2-BB4C99E692B5}"/>
            </c:ext>
          </c:extLst>
        </c:ser>
        <c:dLbls>
          <c:showLegendKey val="0"/>
          <c:showVal val="0"/>
          <c:showCatName val="0"/>
          <c:showSerName val="0"/>
          <c:showPercent val="0"/>
          <c:showBubbleSize val="0"/>
        </c:dLbls>
        <c:gapWidth val="0"/>
        <c:axId val="483249352"/>
        <c:axId val="483250136"/>
      </c:barChart>
      <c:catAx>
        <c:axId val="48324935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483250136"/>
        <c:crosses val="autoZero"/>
        <c:auto val="1"/>
        <c:lblAlgn val="ctr"/>
        <c:lblOffset val="100"/>
        <c:noMultiLvlLbl val="0"/>
      </c:catAx>
      <c:valAx>
        <c:axId val="483250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83249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E3F7-4D7A-8EC1-201EEB2712A3}"/>
            </c:ext>
          </c:extLst>
        </c:ser>
        <c:dLbls>
          <c:showLegendKey val="0"/>
          <c:showVal val="0"/>
          <c:showCatName val="0"/>
          <c:showSerName val="0"/>
          <c:showPercent val="0"/>
          <c:showBubbleSize val="0"/>
        </c:dLbls>
        <c:gapWidth val="0"/>
        <c:axId val="483254056"/>
        <c:axId val="483251312"/>
      </c:barChart>
      <c:catAx>
        <c:axId val="48325405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483251312"/>
        <c:crosses val="autoZero"/>
        <c:auto val="1"/>
        <c:lblAlgn val="ctr"/>
        <c:lblOffset val="100"/>
        <c:noMultiLvlLbl val="0"/>
      </c:catAx>
      <c:valAx>
        <c:axId val="4832513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8325405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707A-453F-B1BD-676FC10EB489}"/>
            </c:ext>
          </c:extLst>
        </c:ser>
        <c:dLbls>
          <c:showLegendKey val="0"/>
          <c:showVal val="0"/>
          <c:showCatName val="0"/>
          <c:showSerName val="0"/>
          <c:showPercent val="0"/>
          <c:showBubbleSize val="0"/>
        </c:dLbls>
        <c:gapWidth val="0"/>
        <c:axId val="483251704"/>
        <c:axId val="483252096"/>
      </c:barChart>
      <c:catAx>
        <c:axId val="48325170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483252096"/>
        <c:crosses val="autoZero"/>
        <c:auto val="1"/>
        <c:lblAlgn val="ctr"/>
        <c:lblOffset val="100"/>
        <c:noMultiLvlLbl val="0"/>
      </c:catAx>
      <c:valAx>
        <c:axId val="4832520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83251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133</c:v>
                </c:pt>
              </c:strCache>
            </c:strRef>
          </c:tx>
          <c:spPr>
            <a:solidFill>
              <a:schemeClr val="accent1"/>
            </a:solidFill>
          </c:spPr>
          <c:invertIfNegative val="0"/>
          <c:cat>
            <c:numRef>
              <c:f>'Overall Metrics'!$J$2:$J$57</c:f>
              <c:numCache>
                <c:formatCode>#,##0.00</c:formatCode>
                <c:ptCount val="56"/>
                <c:pt idx="0">
                  <c:v>0</c:v>
                </c:pt>
                <c:pt idx="1">
                  <c:v>97.252530454545465</c:v>
                </c:pt>
                <c:pt idx="2">
                  <c:v>194.50506090909093</c:v>
                </c:pt>
                <c:pt idx="3">
                  <c:v>291.75759136363638</c:v>
                </c:pt>
                <c:pt idx="4">
                  <c:v>389.01012181818186</c:v>
                </c:pt>
                <c:pt idx="5">
                  <c:v>486.26265227272734</c:v>
                </c:pt>
                <c:pt idx="6">
                  <c:v>583.51518272727276</c:v>
                </c:pt>
                <c:pt idx="7">
                  <c:v>680.76771318181818</c:v>
                </c:pt>
                <c:pt idx="8">
                  <c:v>778.0202436363636</c:v>
                </c:pt>
                <c:pt idx="9">
                  <c:v>875.27277409090902</c:v>
                </c:pt>
                <c:pt idx="10">
                  <c:v>972.52530454545445</c:v>
                </c:pt>
                <c:pt idx="11">
                  <c:v>1069.7778349999999</c:v>
                </c:pt>
                <c:pt idx="12">
                  <c:v>1167.0303654545453</c:v>
                </c:pt>
                <c:pt idx="13">
                  <c:v>1264.2828959090907</c:v>
                </c:pt>
                <c:pt idx="14">
                  <c:v>1361.5354263636361</c:v>
                </c:pt>
                <c:pt idx="15">
                  <c:v>1458.7879568181816</c:v>
                </c:pt>
                <c:pt idx="16">
                  <c:v>1556.040487272727</c:v>
                </c:pt>
                <c:pt idx="17">
                  <c:v>1653.2930177272724</c:v>
                </c:pt>
                <c:pt idx="18">
                  <c:v>1750.5455481818178</c:v>
                </c:pt>
                <c:pt idx="19">
                  <c:v>1847.7980786363632</c:v>
                </c:pt>
                <c:pt idx="20">
                  <c:v>1945.0506090909087</c:v>
                </c:pt>
                <c:pt idx="21">
                  <c:v>2042.3031395454541</c:v>
                </c:pt>
                <c:pt idx="22">
                  <c:v>2139.5556699999997</c:v>
                </c:pt>
                <c:pt idx="23">
                  <c:v>2236.8082004545454</c:v>
                </c:pt>
                <c:pt idx="24">
                  <c:v>2334.060730909091</c:v>
                </c:pt>
                <c:pt idx="26">
                  <c:v>2431.3132613636367</c:v>
                </c:pt>
                <c:pt idx="38">
                  <c:v>2528.5657918181823</c:v>
                </c:pt>
                <c:pt idx="39">
                  <c:v>2625.818322272728</c:v>
                </c:pt>
                <c:pt idx="40">
                  <c:v>2723.0708527272736</c:v>
                </c:pt>
                <c:pt idx="41">
                  <c:v>2820.3233831818193</c:v>
                </c:pt>
                <c:pt idx="42">
                  <c:v>2917.5759136363649</c:v>
                </c:pt>
                <c:pt idx="43">
                  <c:v>3014.8284440909106</c:v>
                </c:pt>
                <c:pt idx="44">
                  <c:v>3112.0809745454562</c:v>
                </c:pt>
                <c:pt idx="45">
                  <c:v>3209.3335050000019</c:v>
                </c:pt>
                <c:pt idx="46">
                  <c:v>3306.5860354545475</c:v>
                </c:pt>
                <c:pt idx="47">
                  <c:v>3403.8385659090932</c:v>
                </c:pt>
                <c:pt idx="48">
                  <c:v>3501.0910963636388</c:v>
                </c:pt>
                <c:pt idx="49">
                  <c:v>3598.3436268181845</c:v>
                </c:pt>
                <c:pt idx="50">
                  <c:v>3695.5961572727301</c:v>
                </c:pt>
                <c:pt idx="51">
                  <c:v>3792.8486877272758</c:v>
                </c:pt>
                <c:pt idx="52">
                  <c:v>3890.1012181818214</c:v>
                </c:pt>
                <c:pt idx="53">
                  <c:v>3987.3537486363671</c:v>
                </c:pt>
                <c:pt idx="54">
                  <c:v>4084.6062790909127</c:v>
                </c:pt>
                <c:pt idx="55">
                  <c:v>5348.8891750000003</c:v>
                </c:pt>
              </c:numCache>
            </c:numRef>
          </c:cat>
          <c:val>
            <c:numRef>
              <c:f>'Overall Metrics'!$K$2:$K$57</c:f>
              <c:numCache>
                <c:formatCode>General</c:formatCode>
                <c:ptCount val="56"/>
                <c:pt idx="0">
                  <c:v>133</c:v>
                </c:pt>
                <c:pt idx="1">
                  <c:v>14</c:v>
                </c:pt>
                <c:pt idx="2">
                  <c:v>14</c:v>
                </c:pt>
                <c:pt idx="3">
                  <c:v>4</c:v>
                </c:pt>
                <c:pt idx="4">
                  <c:v>3</c:v>
                </c:pt>
                <c:pt idx="5">
                  <c:v>2</c:v>
                </c:pt>
                <c:pt idx="6">
                  <c:v>4</c:v>
                </c:pt>
                <c:pt idx="7">
                  <c:v>2</c:v>
                </c:pt>
                <c:pt idx="8">
                  <c:v>5</c:v>
                </c:pt>
                <c:pt idx="9">
                  <c:v>3</c:v>
                </c:pt>
                <c:pt idx="10">
                  <c:v>3</c:v>
                </c:pt>
                <c:pt idx="11">
                  <c:v>2</c:v>
                </c:pt>
                <c:pt idx="12">
                  <c:v>4</c:v>
                </c:pt>
                <c:pt idx="13">
                  <c:v>3</c:v>
                </c:pt>
                <c:pt idx="14">
                  <c:v>1</c:v>
                </c:pt>
                <c:pt idx="15">
                  <c:v>2</c:v>
                </c:pt>
                <c:pt idx="16">
                  <c:v>2</c:v>
                </c:pt>
                <c:pt idx="17">
                  <c:v>3</c:v>
                </c:pt>
                <c:pt idx="18">
                  <c:v>2</c:v>
                </c:pt>
                <c:pt idx="19">
                  <c:v>1</c:v>
                </c:pt>
                <c:pt idx="20">
                  <c:v>1</c:v>
                </c:pt>
                <c:pt idx="21">
                  <c:v>0</c:v>
                </c:pt>
                <c:pt idx="22">
                  <c:v>1</c:v>
                </c:pt>
                <c:pt idx="23">
                  <c:v>0</c:v>
                </c:pt>
                <c:pt idx="24">
                  <c:v>0</c:v>
                </c:pt>
                <c:pt idx="25">
                  <c:v>-4</c:v>
                </c:pt>
                <c:pt idx="26">
                  <c:v>0</c:v>
                </c:pt>
                <c:pt idx="27">
                  <c:v>0</c:v>
                </c:pt>
                <c:pt idx="28">
                  <c:v>0</c:v>
                </c:pt>
                <c:pt idx="29">
                  <c:v>0</c:v>
                </c:pt>
                <c:pt idx="30">
                  <c:v>0</c:v>
                </c:pt>
                <c:pt idx="31">
                  <c:v>0</c:v>
                </c:pt>
                <c:pt idx="32">
                  <c:v>0</c:v>
                </c:pt>
                <c:pt idx="33">
                  <c:v>0</c:v>
                </c:pt>
                <c:pt idx="34">
                  <c:v>0</c:v>
                </c:pt>
                <c:pt idx="35">
                  <c:v>0</c:v>
                </c:pt>
                <c:pt idx="36">
                  <c:v>-4</c:v>
                </c:pt>
                <c:pt idx="37">
                  <c:v>-4</c:v>
                </c:pt>
                <c:pt idx="38">
                  <c:v>1</c:v>
                </c:pt>
                <c:pt idx="39">
                  <c:v>0</c:v>
                </c:pt>
                <c:pt idx="40">
                  <c:v>0</c:v>
                </c:pt>
                <c:pt idx="41">
                  <c:v>0</c:v>
                </c:pt>
                <c:pt idx="42">
                  <c:v>0</c:v>
                </c:pt>
                <c:pt idx="43">
                  <c:v>1</c:v>
                </c:pt>
                <c:pt idx="44">
                  <c:v>1</c:v>
                </c:pt>
                <c:pt idx="45">
                  <c:v>0</c:v>
                </c:pt>
                <c:pt idx="46">
                  <c:v>0</c:v>
                </c:pt>
                <c:pt idx="47">
                  <c:v>0</c:v>
                </c:pt>
                <c:pt idx="48">
                  <c:v>0</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5193-4F63-82B2-CB374B8E3366}"/>
            </c:ext>
          </c:extLst>
        </c:ser>
        <c:dLbls>
          <c:showLegendKey val="0"/>
          <c:showVal val="0"/>
          <c:showCatName val="0"/>
          <c:showSerName val="0"/>
          <c:showPercent val="0"/>
          <c:showBubbleSize val="0"/>
        </c:dLbls>
        <c:gapWidth val="0"/>
        <c:axId val="483253664"/>
        <c:axId val="483252880"/>
      </c:barChart>
      <c:catAx>
        <c:axId val="4832536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483252880"/>
        <c:crosses val="autoZero"/>
        <c:auto val="1"/>
        <c:lblAlgn val="ctr"/>
        <c:lblOffset val="100"/>
        <c:noMultiLvlLbl val="0"/>
      </c:catAx>
      <c:valAx>
        <c:axId val="4832528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832536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2</c:v>
                </c:pt>
              </c:strCache>
            </c:strRef>
          </c:tx>
          <c:spPr>
            <a:solidFill>
              <a:schemeClr val="accent1"/>
            </a:solidFill>
          </c:spPr>
          <c:invertIfNegative val="0"/>
          <c:cat>
            <c:numRef>
              <c:f>'Overall Metrics'!$L$2:$L$57</c:f>
              <c:numCache>
                <c:formatCode>#,##0.00</c:formatCode>
                <c:ptCount val="56"/>
                <c:pt idx="0">
                  <c:v>7.9900000000000001E-4</c:v>
                </c:pt>
                <c:pt idx="1">
                  <c:v>8.137454545454546E-4</c:v>
                </c:pt>
                <c:pt idx="2">
                  <c:v>8.2849090909090919E-4</c:v>
                </c:pt>
                <c:pt idx="3">
                  <c:v>8.4323636363636378E-4</c:v>
                </c:pt>
                <c:pt idx="4">
                  <c:v>8.5798181818181837E-4</c:v>
                </c:pt>
                <c:pt idx="5">
                  <c:v>8.7272727272727296E-4</c:v>
                </c:pt>
                <c:pt idx="6">
                  <c:v>8.8747272727272754E-4</c:v>
                </c:pt>
                <c:pt idx="7">
                  <c:v>9.0221818181818213E-4</c:v>
                </c:pt>
                <c:pt idx="8">
                  <c:v>9.1696363636363672E-4</c:v>
                </c:pt>
                <c:pt idx="9">
                  <c:v>9.3170909090909131E-4</c:v>
                </c:pt>
                <c:pt idx="10">
                  <c:v>9.464545454545459E-4</c:v>
                </c:pt>
                <c:pt idx="11">
                  <c:v>9.6120000000000049E-4</c:v>
                </c:pt>
                <c:pt idx="12">
                  <c:v>9.7594545454545508E-4</c:v>
                </c:pt>
                <c:pt idx="13">
                  <c:v>9.9069090909090956E-4</c:v>
                </c:pt>
                <c:pt idx="14">
                  <c:v>1.005436363636364E-3</c:v>
                </c:pt>
                <c:pt idx="15">
                  <c:v>1.0201818181818185E-3</c:v>
                </c:pt>
                <c:pt idx="16">
                  <c:v>1.034927272727273E-3</c:v>
                </c:pt>
                <c:pt idx="17">
                  <c:v>1.0496727272727275E-3</c:v>
                </c:pt>
                <c:pt idx="18">
                  <c:v>1.064418181818182E-3</c:v>
                </c:pt>
                <c:pt idx="19">
                  <c:v>1.0791636363636364E-3</c:v>
                </c:pt>
                <c:pt idx="20">
                  <c:v>1.0939090909090909E-3</c:v>
                </c:pt>
                <c:pt idx="21">
                  <c:v>1.1086545454545454E-3</c:v>
                </c:pt>
                <c:pt idx="22">
                  <c:v>1.1233999999999999E-3</c:v>
                </c:pt>
                <c:pt idx="23">
                  <c:v>1.1381454545454544E-3</c:v>
                </c:pt>
                <c:pt idx="24">
                  <c:v>1.1528909090909088E-3</c:v>
                </c:pt>
                <c:pt idx="26">
                  <c:v>1.1676363636363633E-3</c:v>
                </c:pt>
                <c:pt idx="38">
                  <c:v>1.1823818181818178E-3</c:v>
                </c:pt>
                <c:pt idx="39">
                  <c:v>1.1971272727272723E-3</c:v>
                </c:pt>
                <c:pt idx="40">
                  <c:v>1.2118727272727268E-3</c:v>
                </c:pt>
                <c:pt idx="41">
                  <c:v>1.2266181818181812E-3</c:v>
                </c:pt>
                <c:pt idx="42">
                  <c:v>1.2413636363636357E-3</c:v>
                </c:pt>
                <c:pt idx="43">
                  <c:v>1.2561090909090902E-3</c:v>
                </c:pt>
                <c:pt idx="44">
                  <c:v>1.2708545454545447E-3</c:v>
                </c:pt>
                <c:pt idx="45">
                  <c:v>1.2855999999999992E-3</c:v>
                </c:pt>
                <c:pt idx="46">
                  <c:v>1.3003454545454536E-3</c:v>
                </c:pt>
                <c:pt idx="47">
                  <c:v>1.3150909090909081E-3</c:v>
                </c:pt>
                <c:pt idx="48">
                  <c:v>1.3298363636363626E-3</c:v>
                </c:pt>
                <c:pt idx="49">
                  <c:v>1.3445818181818171E-3</c:v>
                </c:pt>
                <c:pt idx="50">
                  <c:v>1.3593272727272716E-3</c:v>
                </c:pt>
                <c:pt idx="51">
                  <c:v>1.374072727272726E-3</c:v>
                </c:pt>
                <c:pt idx="52">
                  <c:v>1.3888181818181805E-3</c:v>
                </c:pt>
                <c:pt idx="53">
                  <c:v>1.403563636363635E-3</c:v>
                </c:pt>
                <c:pt idx="54">
                  <c:v>1.4183090909090895E-3</c:v>
                </c:pt>
                <c:pt idx="55">
                  <c:v>1.6100000000000001E-3</c:v>
                </c:pt>
              </c:numCache>
            </c:numRef>
          </c:cat>
          <c:val>
            <c:numRef>
              <c:f>'Overall Metrics'!$M$2:$M$57</c:f>
              <c:numCache>
                <c:formatCode>General</c:formatCode>
                <c:ptCount val="56"/>
                <c:pt idx="0">
                  <c:v>2</c:v>
                </c:pt>
                <c:pt idx="1">
                  <c:v>0</c:v>
                </c:pt>
                <c:pt idx="2">
                  <c:v>0</c:v>
                </c:pt>
                <c:pt idx="3">
                  <c:v>1</c:v>
                </c:pt>
                <c:pt idx="4">
                  <c:v>1</c:v>
                </c:pt>
                <c:pt idx="5">
                  <c:v>6</c:v>
                </c:pt>
                <c:pt idx="6">
                  <c:v>4</c:v>
                </c:pt>
                <c:pt idx="7">
                  <c:v>2</c:v>
                </c:pt>
                <c:pt idx="8">
                  <c:v>0</c:v>
                </c:pt>
                <c:pt idx="9">
                  <c:v>1</c:v>
                </c:pt>
                <c:pt idx="10">
                  <c:v>11</c:v>
                </c:pt>
                <c:pt idx="11">
                  <c:v>1</c:v>
                </c:pt>
                <c:pt idx="12">
                  <c:v>2</c:v>
                </c:pt>
                <c:pt idx="13">
                  <c:v>4</c:v>
                </c:pt>
                <c:pt idx="14">
                  <c:v>4</c:v>
                </c:pt>
                <c:pt idx="15">
                  <c:v>7</c:v>
                </c:pt>
                <c:pt idx="16">
                  <c:v>9</c:v>
                </c:pt>
                <c:pt idx="17">
                  <c:v>12</c:v>
                </c:pt>
                <c:pt idx="18">
                  <c:v>5</c:v>
                </c:pt>
                <c:pt idx="19">
                  <c:v>5</c:v>
                </c:pt>
                <c:pt idx="20">
                  <c:v>12</c:v>
                </c:pt>
                <c:pt idx="21">
                  <c:v>8</c:v>
                </c:pt>
                <c:pt idx="22">
                  <c:v>16</c:v>
                </c:pt>
                <c:pt idx="23">
                  <c:v>3</c:v>
                </c:pt>
                <c:pt idx="24">
                  <c:v>6</c:v>
                </c:pt>
                <c:pt idx="25">
                  <c:v>-91</c:v>
                </c:pt>
                <c:pt idx="26">
                  <c:v>2</c:v>
                </c:pt>
                <c:pt idx="27">
                  <c:v>0</c:v>
                </c:pt>
                <c:pt idx="28">
                  <c:v>0</c:v>
                </c:pt>
                <c:pt idx="29">
                  <c:v>0</c:v>
                </c:pt>
                <c:pt idx="30">
                  <c:v>0</c:v>
                </c:pt>
                <c:pt idx="31">
                  <c:v>0</c:v>
                </c:pt>
                <c:pt idx="32">
                  <c:v>0</c:v>
                </c:pt>
                <c:pt idx="33">
                  <c:v>0</c:v>
                </c:pt>
                <c:pt idx="34">
                  <c:v>0</c:v>
                </c:pt>
                <c:pt idx="35">
                  <c:v>0</c:v>
                </c:pt>
                <c:pt idx="36">
                  <c:v>-89</c:v>
                </c:pt>
                <c:pt idx="37">
                  <c:v>-89</c:v>
                </c:pt>
                <c:pt idx="38">
                  <c:v>9</c:v>
                </c:pt>
                <c:pt idx="39">
                  <c:v>17</c:v>
                </c:pt>
                <c:pt idx="40">
                  <c:v>7</c:v>
                </c:pt>
                <c:pt idx="41">
                  <c:v>6</c:v>
                </c:pt>
                <c:pt idx="42">
                  <c:v>4</c:v>
                </c:pt>
                <c:pt idx="43">
                  <c:v>2</c:v>
                </c:pt>
                <c:pt idx="44">
                  <c:v>5</c:v>
                </c:pt>
                <c:pt idx="45">
                  <c:v>4</c:v>
                </c:pt>
                <c:pt idx="46">
                  <c:v>3</c:v>
                </c:pt>
                <c:pt idx="47">
                  <c:v>3</c:v>
                </c:pt>
                <c:pt idx="48">
                  <c:v>4</c:v>
                </c:pt>
                <c:pt idx="49">
                  <c:v>2</c:v>
                </c:pt>
                <c:pt idx="50">
                  <c:v>3</c:v>
                </c:pt>
                <c:pt idx="51">
                  <c:v>2</c:v>
                </c:pt>
                <c:pt idx="52">
                  <c:v>0</c:v>
                </c:pt>
                <c:pt idx="53">
                  <c:v>2</c:v>
                </c:pt>
                <c:pt idx="54">
                  <c:v>15</c:v>
                </c:pt>
                <c:pt idx="55">
                  <c:v>1</c:v>
                </c:pt>
              </c:numCache>
            </c:numRef>
          </c:val>
          <c:extLst>
            <c:ext xmlns:c16="http://schemas.microsoft.com/office/drawing/2014/chart" uri="{C3380CC4-5D6E-409C-BE32-E72D297353CC}">
              <c16:uniqueId val="{00000000-F451-4DD0-8EDB-1547E1351AA8}"/>
            </c:ext>
          </c:extLst>
        </c:ser>
        <c:dLbls>
          <c:showLegendKey val="0"/>
          <c:showVal val="0"/>
          <c:showCatName val="0"/>
          <c:showSerName val="0"/>
          <c:showPercent val="0"/>
          <c:showBubbleSize val="0"/>
        </c:dLbls>
        <c:gapWidth val="0"/>
        <c:axId val="483254840"/>
        <c:axId val="483255232"/>
      </c:barChart>
      <c:catAx>
        <c:axId val="48325484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483255232"/>
        <c:crosses val="autoZero"/>
        <c:auto val="1"/>
        <c:lblAlgn val="ctr"/>
        <c:lblOffset val="100"/>
        <c:noMultiLvlLbl val="0"/>
      </c:catAx>
      <c:valAx>
        <c:axId val="483255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832548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25</c:v>
                </c:pt>
              </c:strCache>
            </c:strRef>
          </c:tx>
          <c:spPr>
            <a:solidFill>
              <a:schemeClr val="accent1"/>
            </a:solidFill>
          </c:spPr>
          <c:invertIfNegative val="0"/>
          <c:cat>
            <c:numRef>
              <c:f>'Overall Metrics'!$N$2:$N$57</c:f>
              <c:numCache>
                <c:formatCode>#,##0.00</c:formatCode>
                <c:ptCount val="56"/>
                <c:pt idx="0">
                  <c:v>1.1E-4</c:v>
                </c:pt>
                <c:pt idx="1">
                  <c:v>6.069090909090909E-4</c:v>
                </c:pt>
                <c:pt idx="2">
                  <c:v>1.1038181818181819E-3</c:v>
                </c:pt>
                <c:pt idx="3">
                  <c:v>1.6007272727272728E-3</c:v>
                </c:pt>
                <c:pt idx="4">
                  <c:v>2.0976363636363636E-3</c:v>
                </c:pt>
                <c:pt idx="5">
                  <c:v>2.5945454545454544E-3</c:v>
                </c:pt>
                <c:pt idx="6">
                  <c:v>3.0914545454545452E-3</c:v>
                </c:pt>
                <c:pt idx="7">
                  <c:v>3.5883636363636361E-3</c:v>
                </c:pt>
                <c:pt idx="8">
                  <c:v>4.0852727272727273E-3</c:v>
                </c:pt>
                <c:pt idx="9">
                  <c:v>4.5821818181818186E-3</c:v>
                </c:pt>
                <c:pt idx="10">
                  <c:v>5.0790909090909098E-3</c:v>
                </c:pt>
                <c:pt idx="11">
                  <c:v>5.5760000000000011E-3</c:v>
                </c:pt>
                <c:pt idx="12">
                  <c:v>6.0729090909090924E-3</c:v>
                </c:pt>
                <c:pt idx="13">
                  <c:v>6.5698181818181836E-3</c:v>
                </c:pt>
                <c:pt idx="14">
                  <c:v>7.0667272727272749E-3</c:v>
                </c:pt>
                <c:pt idx="15">
                  <c:v>7.5636363636363661E-3</c:v>
                </c:pt>
                <c:pt idx="16">
                  <c:v>8.0605454545454574E-3</c:v>
                </c:pt>
                <c:pt idx="17">
                  <c:v>8.5574545454545486E-3</c:v>
                </c:pt>
                <c:pt idx="18">
                  <c:v>9.0543636363636399E-3</c:v>
                </c:pt>
                <c:pt idx="19">
                  <c:v>9.5512727272727312E-3</c:v>
                </c:pt>
                <c:pt idx="20">
                  <c:v>1.0048181818181822E-2</c:v>
                </c:pt>
                <c:pt idx="21">
                  <c:v>1.0545090909090914E-2</c:v>
                </c:pt>
                <c:pt idx="22">
                  <c:v>1.1042000000000005E-2</c:v>
                </c:pt>
                <c:pt idx="23">
                  <c:v>1.1538909090909096E-2</c:v>
                </c:pt>
                <c:pt idx="24">
                  <c:v>1.2035818181818187E-2</c:v>
                </c:pt>
                <c:pt idx="26">
                  <c:v>1.2532727272727279E-2</c:v>
                </c:pt>
                <c:pt idx="38">
                  <c:v>1.302963636363637E-2</c:v>
                </c:pt>
                <c:pt idx="39">
                  <c:v>1.3526545454545461E-2</c:v>
                </c:pt>
                <c:pt idx="40">
                  <c:v>1.4023454545454552E-2</c:v>
                </c:pt>
                <c:pt idx="41">
                  <c:v>1.4520363636363644E-2</c:v>
                </c:pt>
                <c:pt idx="42">
                  <c:v>1.5017272727272735E-2</c:v>
                </c:pt>
                <c:pt idx="43">
                  <c:v>1.5514181818181826E-2</c:v>
                </c:pt>
                <c:pt idx="44">
                  <c:v>1.6011090909090916E-2</c:v>
                </c:pt>
                <c:pt idx="45">
                  <c:v>1.6508000000000005E-2</c:v>
                </c:pt>
                <c:pt idx="46">
                  <c:v>1.7004909090909095E-2</c:v>
                </c:pt>
                <c:pt idx="47">
                  <c:v>1.7501818181818184E-2</c:v>
                </c:pt>
                <c:pt idx="48">
                  <c:v>1.7998727272727274E-2</c:v>
                </c:pt>
                <c:pt idx="49">
                  <c:v>1.8495636363636363E-2</c:v>
                </c:pt>
                <c:pt idx="50">
                  <c:v>1.8992545454545453E-2</c:v>
                </c:pt>
                <c:pt idx="51">
                  <c:v>1.9489454545454542E-2</c:v>
                </c:pt>
                <c:pt idx="52">
                  <c:v>1.9986363636363632E-2</c:v>
                </c:pt>
                <c:pt idx="53">
                  <c:v>2.0483272727272721E-2</c:v>
                </c:pt>
                <c:pt idx="54">
                  <c:v>2.0980181818181811E-2</c:v>
                </c:pt>
                <c:pt idx="55">
                  <c:v>2.7439999999999999E-2</c:v>
                </c:pt>
              </c:numCache>
            </c:numRef>
          </c:cat>
          <c:val>
            <c:numRef>
              <c:f>'Overall Metrics'!$O$2:$O$57</c:f>
              <c:numCache>
                <c:formatCode>General</c:formatCode>
                <c:ptCount val="56"/>
                <c:pt idx="0">
                  <c:v>25</c:v>
                </c:pt>
                <c:pt idx="1">
                  <c:v>15</c:v>
                </c:pt>
                <c:pt idx="2">
                  <c:v>29</c:v>
                </c:pt>
                <c:pt idx="3">
                  <c:v>14</c:v>
                </c:pt>
                <c:pt idx="4">
                  <c:v>14</c:v>
                </c:pt>
                <c:pt idx="5">
                  <c:v>17</c:v>
                </c:pt>
                <c:pt idx="6">
                  <c:v>17</c:v>
                </c:pt>
                <c:pt idx="7">
                  <c:v>13</c:v>
                </c:pt>
                <c:pt idx="8">
                  <c:v>7</c:v>
                </c:pt>
                <c:pt idx="9">
                  <c:v>5</c:v>
                </c:pt>
                <c:pt idx="10">
                  <c:v>3</c:v>
                </c:pt>
                <c:pt idx="11">
                  <c:v>5</c:v>
                </c:pt>
                <c:pt idx="12">
                  <c:v>4</c:v>
                </c:pt>
                <c:pt idx="13">
                  <c:v>3</c:v>
                </c:pt>
                <c:pt idx="14">
                  <c:v>0</c:v>
                </c:pt>
                <c:pt idx="15">
                  <c:v>2</c:v>
                </c:pt>
                <c:pt idx="16">
                  <c:v>5</c:v>
                </c:pt>
                <c:pt idx="17">
                  <c:v>3</c:v>
                </c:pt>
                <c:pt idx="18">
                  <c:v>2</c:v>
                </c:pt>
                <c:pt idx="19">
                  <c:v>2</c:v>
                </c:pt>
                <c:pt idx="20">
                  <c:v>2</c:v>
                </c:pt>
                <c:pt idx="21">
                  <c:v>1</c:v>
                </c:pt>
                <c:pt idx="22">
                  <c:v>3</c:v>
                </c:pt>
                <c:pt idx="23">
                  <c:v>2</c:v>
                </c:pt>
                <c:pt idx="24">
                  <c:v>0</c:v>
                </c:pt>
                <c:pt idx="25">
                  <c:v>-20</c:v>
                </c:pt>
                <c:pt idx="26">
                  <c:v>3</c:v>
                </c:pt>
                <c:pt idx="27">
                  <c:v>0</c:v>
                </c:pt>
                <c:pt idx="28">
                  <c:v>0</c:v>
                </c:pt>
                <c:pt idx="29">
                  <c:v>0</c:v>
                </c:pt>
                <c:pt idx="30">
                  <c:v>0</c:v>
                </c:pt>
                <c:pt idx="31">
                  <c:v>0</c:v>
                </c:pt>
                <c:pt idx="32">
                  <c:v>0</c:v>
                </c:pt>
                <c:pt idx="33">
                  <c:v>0</c:v>
                </c:pt>
                <c:pt idx="34">
                  <c:v>0</c:v>
                </c:pt>
                <c:pt idx="35">
                  <c:v>0</c:v>
                </c:pt>
                <c:pt idx="36">
                  <c:v>-17</c:v>
                </c:pt>
                <c:pt idx="37">
                  <c:v>-17</c:v>
                </c:pt>
                <c:pt idx="38">
                  <c:v>1</c:v>
                </c:pt>
                <c:pt idx="39">
                  <c:v>0</c:v>
                </c:pt>
                <c:pt idx="40">
                  <c:v>0</c:v>
                </c:pt>
                <c:pt idx="41">
                  <c:v>3</c:v>
                </c:pt>
                <c:pt idx="42">
                  <c:v>2</c:v>
                </c:pt>
                <c:pt idx="43">
                  <c:v>1</c:v>
                </c:pt>
                <c:pt idx="44">
                  <c:v>0</c:v>
                </c:pt>
                <c:pt idx="45">
                  <c:v>0</c:v>
                </c:pt>
                <c:pt idx="46">
                  <c:v>0</c:v>
                </c:pt>
                <c:pt idx="47">
                  <c:v>0</c:v>
                </c:pt>
                <c:pt idx="48">
                  <c:v>1</c:v>
                </c:pt>
                <c:pt idx="49">
                  <c:v>0</c:v>
                </c:pt>
                <c:pt idx="50">
                  <c:v>0</c:v>
                </c:pt>
                <c:pt idx="51">
                  <c:v>1</c:v>
                </c:pt>
                <c:pt idx="52">
                  <c:v>0</c:v>
                </c:pt>
                <c:pt idx="53">
                  <c:v>1</c:v>
                </c:pt>
                <c:pt idx="54">
                  <c:v>6</c:v>
                </c:pt>
                <c:pt idx="55">
                  <c:v>1</c:v>
                </c:pt>
              </c:numCache>
            </c:numRef>
          </c:val>
          <c:extLst>
            <c:ext xmlns:c16="http://schemas.microsoft.com/office/drawing/2014/chart" uri="{C3380CC4-5D6E-409C-BE32-E72D297353CC}">
              <c16:uniqueId val="{00000000-A6AD-4C5A-A72F-53820DFDF854}"/>
            </c:ext>
          </c:extLst>
        </c:ser>
        <c:dLbls>
          <c:showLegendKey val="0"/>
          <c:showVal val="0"/>
          <c:showCatName val="0"/>
          <c:showSerName val="0"/>
          <c:showPercent val="0"/>
          <c:showBubbleSize val="0"/>
        </c:dLbls>
        <c:gapWidth val="0"/>
        <c:axId val="483255624"/>
        <c:axId val="384088288"/>
      </c:barChart>
      <c:catAx>
        <c:axId val="48325562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384088288"/>
        <c:crosses val="autoZero"/>
        <c:auto val="1"/>
        <c:lblAlgn val="ctr"/>
        <c:lblOffset val="100"/>
        <c:noMultiLvlLbl val="0"/>
      </c:catAx>
      <c:valAx>
        <c:axId val="3840882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832556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192</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Metrics'!$S$2:$S$57</c:f>
              <c:numCache>
                <c:formatCode>General</c:formatCode>
                <c:ptCount val="56"/>
                <c:pt idx="0">
                  <c:v>192</c:v>
                </c:pt>
                <c:pt idx="1">
                  <c:v>1</c:v>
                </c:pt>
                <c:pt idx="2">
                  <c:v>3</c:v>
                </c:pt>
                <c:pt idx="3">
                  <c:v>5</c:v>
                </c:pt>
                <c:pt idx="4">
                  <c:v>0</c:v>
                </c:pt>
                <c:pt idx="5">
                  <c:v>5</c:v>
                </c:pt>
                <c:pt idx="6">
                  <c:v>0</c:v>
                </c:pt>
                <c:pt idx="7">
                  <c:v>1</c:v>
                </c:pt>
                <c:pt idx="8">
                  <c:v>0</c:v>
                </c:pt>
                <c:pt idx="9">
                  <c:v>1</c:v>
                </c:pt>
                <c:pt idx="10">
                  <c:v>0</c:v>
                </c:pt>
                <c:pt idx="11">
                  <c:v>0</c:v>
                </c:pt>
                <c:pt idx="12">
                  <c:v>0</c:v>
                </c:pt>
                <c:pt idx="13">
                  <c:v>0</c:v>
                </c:pt>
                <c:pt idx="14">
                  <c:v>0</c:v>
                </c:pt>
                <c:pt idx="15">
                  <c:v>0</c:v>
                </c:pt>
                <c:pt idx="16">
                  <c:v>0</c:v>
                </c:pt>
                <c:pt idx="17">
                  <c:v>0</c:v>
                </c:pt>
                <c:pt idx="18">
                  <c:v>3</c:v>
                </c:pt>
                <c:pt idx="19">
                  <c:v>0</c:v>
                </c:pt>
                <c:pt idx="20">
                  <c:v>0</c:v>
                </c:pt>
                <c:pt idx="21">
                  <c:v>0</c:v>
                </c:pt>
                <c:pt idx="22">
                  <c:v>0</c:v>
                </c:pt>
                <c:pt idx="23">
                  <c:v>0</c:v>
                </c:pt>
                <c:pt idx="24">
                  <c:v>0</c:v>
                </c:pt>
                <c:pt idx="25">
                  <c:v>-2</c:v>
                </c:pt>
                <c:pt idx="26">
                  <c:v>0</c:v>
                </c:pt>
                <c:pt idx="27">
                  <c:v>0</c:v>
                </c:pt>
                <c:pt idx="28">
                  <c:v>0</c:v>
                </c:pt>
                <c:pt idx="29">
                  <c:v>0</c:v>
                </c:pt>
                <c:pt idx="30">
                  <c:v>0</c:v>
                </c:pt>
                <c:pt idx="31">
                  <c:v>0</c:v>
                </c:pt>
                <c:pt idx="32">
                  <c:v>0</c:v>
                </c:pt>
                <c:pt idx="33">
                  <c:v>0</c:v>
                </c:pt>
                <c:pt idx="34">
                  <c:v>0</c:v>
                </c:pt>
                <c:pt idx="35">
                  <c:v>0</c:v>
                </c:pt>
                <c:pt idx="36">
                  <c:v>-2</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2</c:v>
                </c:pt>
              </c:numCache>
            </c:numRef>
          </c:val>
          <c:extLst>
            <c:ext xmlns:c16="http://schemas.microsoft.com/office/drawing/2014/chart" uri="{C3380CC4-5D6E-409C-BE32-E72D297353CC}">
              <c16:uniqueId val="{00000000-6219-464F-8238-F3E65125322D}"/>
            </c:ext>
          </c:extLst>
        </c:ser>
        <c:dLbls>
          <c:showLegendKey val="0"/>
          <c:showVal val="0"/>
          <c:showCatName val="0"/>
          <c:showSerName val="0"/>
          <c:showPercent val="0"/>
          <c:showBubbleSize val="0"/>
        </c:dLbls>
        <c:gapWidth val="0"/>
        <c:axId val="384088680"/>
        <c:axId val="384090248"/>
      </c:barChart>
      <c:catAx>
        <c:axId val="38408868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384090248"/>
        <c:crosses val="autoZero"/>
        <c:auto val="1"/>
        <c:lblAlgn val="ctr"/>
        <c:lblOffset val="100"/>
        <c:noMultiLvlLbl val="0"/>
      </c:catAx>
      <c:valAx>
        <c:axId val="384090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4088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86</c:v>
                </c:pt>
              </c:strCache>
            </c:strRef>
          </c:tx>
          <c:spPr>
            <a:solidFill>
              <a:schemeClr val="accent1"/>
            </a:solidFill>
          </c:spPr>
          <c:invertIfNegative val="0"/>
          <c:cat>
            <c:numRef>
              <c:f>'Overall Metrics'!$R$2:$R$57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Metrics'!$Q$2:$Q$57</c:f>
              <c:numCache>
                <c:formatCode>General</c:formatCode>
                <c:ptCount val="56"/>
                <c:pt idx="0">
                  <c:v>86</c:v>
                </c:pt>
                <c:pt idx="1">
                  <c:v>16</c:v>
                </c:pt>
                <c:pt idx="2">
                  <c:v>32</c:v>
                </c:pt>
                <c:pt idx="3">
                  <c:v>6</c:v>
                </c:pt>
                <c:pt idx="4">
                  <c:v>18</c:v>
                </c:pt>
                <c:pt idx="5">
                  <c:v>3</c:v>
                </c:pt>
                <c:pt idx="6">
                  <c:v>4</c:v>
                </c:pt>
                <c:pt idx="7">
                  <c:v>2</c:v>
                </c:pt>
                <c:pt idx="8">
                  <c:v>4</c:v>
                </c:pt>
                <c:pt idx="9">
                  <c:v>1</c:v>
                </c:pt>
                <c:pt idx="10">
                  <c:v>5</c:v>
                </c:pt>
                <c:pt idx="11">
                  <c:v>3</c:v>
                </c:pt>
                <c:pt idx="12">
                  <c:v>3</c:v>
                </c:pt>
                <c:pt idx="13">
                  <c:v>1</c:v>
                </c:pt>
                <c:pt idx="14">
                  <c:v>2</c:v>
                </c:pt>
                <c:pt idx="15">
                  <c:v>1</c:v>
                </c:pt>
                <c:pt idx="16">
                  <c:v>2</c:v>
                </c:pt>
                <c:pt idx="17">
                  <c:v>2</c:v>
                </c:pt>
                <c:pt idx="18">
                  <c:v>3</c:v>
                </c:pt>
                <c:pt idx="19">
                  <c:v>2</c:v>
                </c:pt>
                <c:pt idx="20">
                  <c:v>0</c:v>
                </c:pt>
                <c:pt idx="21">
                  <c:v>2</c:v>
                </c:pt>
                <c:pt idx="22">
                  <c:v>1</c:v>
                </c:pt>
                <c:pt idx="23">
                  <c:v>0</c:v>
                </c:pt>
                <c:pt idx="24">
                  <c:v>1</c:v>
                </c:pt>
                <c:pt idx="25">
                  <c:v>0</c:v>
                </c:pt>
                <c:pt idx="26">
                  <c:v>3</c:v>
                </c:pt>
                <c:pt idx="27">
                  <c:v>0</c:v>
                </c:pt>
                <c:pt idx="28">
                  <c:v>0</c:v>
                </c:pt>
                <c:pt idx="29">
                  <c:v>0</c:v>
                </c:pt>
                <c:pt idx="30">
                  <c:v>0</c:v>
                </c:pt>
                <c:pt idx="31">
                  <c:v>0</c:v>
                </c:pt>
                <c:pt idx="32">
                  <c:v>0</c:v>
                </c:pt>
                <c:pt idx="33">
                  <c:v>0</c:v>
                </c:pt>
                <c:pt idx="34">
                  <c:v>0</c:v>
                </c:pt>
                <c:pt idx="35">
                  <c:v>0</c:v>
                </c:pt>
                <c:pt idx="36">
                  <c:v>0</c:v>
                </c:pt>
                <c:pt idx="37">
                  <c:v>0</c:v>
                </c:pt>
                <c:pt idx="38">
                  <c:v>2</c:v>
                </c:pt>
                <c:pt idx="39">
                  <c:v>0</c:v>
                </c:pt>
                <c:pt idx="40">
                  <c:v>2</c:v>
                </c:pt>
                <c:pt idx="41">
                  <c:v>0</c:v>
                </c:pt>
                <c:pt idx="42">
                  <c:v>1</c:v>
                </c:pt>
                <c:pt idx="43">
                  <c:v>1</c:v>
                </c:pt>
                <c:pt idx="44">
                  <c:v>1</c:v>
                </c:pt>
                <c:pt idx="45">
                  <c:v>1</c:v>
                </c:pt>
                <c:pt idx="46">
                  <c:v>0</c:v>
                </c:pt>
                <c:pt idx="47">
                  <c:v>0</c:v>
                </c:pt>
                <c:pt idx="48">
                  <c:v>1</c:v>
                </c:pt>
                <c:pt idx="49">
                  <c:v>0</c:v>
                </c:pt>
                <c:pt idx="50">
                  <c:v>0</c:v>
                </c:pt>
                <c:pt idx="51">
                  <c:v>0</c:v>
                </c:pt>
                <c:pt idx="52">
                  <c:v>0</c:v>
                </c:pt>
                <c:pt idx="53">
                  <c:v>0</c:v>
                </c:pt>
                <c:pt idx="54">
                  <c:v>0</c:v>
                </c:pt>
                <c:pt idx="55">
                  <c:v>1</c:v>
                </c:pt>
              </c:numCache>
            </c:numRef>
          </c:val>
          <c:extLst>
            <c:ext xmlns:c16="http://schemas.microsoft.com/office/drawing/2014/chart" uri="{C3380CC4-5D6E-409C-BE32-E72D297353CC}">
              <c16:uniqueId val="{00000000-98AC-4EFC-9396-212FCE02F3E5}"/>
            </c:ext>
          </c:extLst>
        </c:ser>
        <c:dLbls>
          <c:showLegendKey val="0"/>
          <c:showVal val="0"/>
          <c:showCatName val="0"/>
          <c:showSerName val="0"/>
          <c:showPercent val="0"/>
          <c:showBubbleSize val="0"/>
        </c:dLbls>
        <c:gapWidth val="0"/>
        <c:axId val="384091032"/>
        <c:axId val="384091424"/>
      </c:barChart>
      <c:catAx>
        <c:axId val="38409103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384091424"/>
        <c:crosses val="autoZero"/>
        <c:auto val="1"/>
        <c:lblAlgn val="ctr"/>
        <c:lblOffset val="100"/>
        <c:noMultiLvlLbl val="0"/>
      </c:catAx>
      <c:valAx>
        <c:axId val="3840914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3840910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192</c:v>
                </c:pt>
              </c:strCache>
            </c:strRef>
          </c:tx>
          <c:spPr>
            <a:solidFill>
              <a:schemeClr val="accent1"/>
            </a:solidFill>
          </c:spPr>
          <c:invertIfNegative val="0"/>
          <c:cat>
            <c:numRef>
              <c:f>'Overall Metrics'!$T$2:$T$57</c:f>
              <c:numCache>
                <c:formatCode>#,##0.00</c:formatCode>
                <c:ptCount val="56"/>
                <c:pt idx="0">
                  <c:v>0</c:v>
                </c:pt>
                <c:pt idx="1">
                  <c:v>1.8181818181818181E-2</c:v>
                </c:pt>
                <c:pt idx="2">
                  <c:v>3.6363636363636362E-2</c:v>
                </c:pt>
                <c:pt idx="3">
                  <c:v>5.4545454545454543E-2</c:v>
                </c:pt>
                <c:pt idx="4">
                  <c:v>7.2727272727272724E-2</c:v>
                </c:pt>
                <c:pt idx="5">
                  <c:v>9.0909090909090912E-2</c:v>
                </c:pt>
                <c:pt idx="6">
                  <c:v>0.1090909090909091</c:v>
                </c:pt>
                <c:pt idx="7">
                  <c:v>0.12727272727272729</c:v>
                </c:pt>
                <c:pt idx="8">
                  <c:v>0.14545454545454548</c:v>
                </c:pt>
                <c:pt idx="9">
                  <c:v>0.16363636363636366</c:v>
                </c:pt>
                <c:pt idx="10">
                  <c:v>0.18181818181818185</c:v>
                </c:pt>
                <c:pt idx="11">
                  <c:v>0.20000000000000004</c:v>
                </c:pt>
                <c:pt idx="12">
                  <c:v>0.21818181818181823</c:v>
                </c:pt>
                <c:pt idx="13">
                  <c:v>0.23636363636363641</c:v>
                </c:pt>
                <c:pt idx="14">
                  <c:v>0.25454545454545457</c:v>
                </c:pt>
                <c:pt idx="15">
                  <c:v>0.27272727272727276</c:v>
                </c:pt>
                <c:pt idx="16">
                  <c:v>0.29090909090909095</c:v>
                </c:pt>
                <c:pt idx="17">
                  <c:v>0.30909090909090914</c:v>
                </c:pt>
                <c:pt idx="18">
                  <c:v>0.32727272727272733</c:v>
                </c:pt>
                <c:pt idx="19">
                  <c:v>0.34545454545454551</c:v>
                </c:pt>
                <c:pt idx="20">
                  <c:v>0.3636363636363637</c:v>
                </c:pt>
                <c:pt idx="21">
                  <c:v>0.38181818181818189</c:v>
                </c:pt>
                <c:pt idx="22">
                  <c:v>0.40000000000000008</c:v>
                </c:pt>
                <c:pt idx="23">
                  <c:v>0.41818181818181827</c:v>
                </c:pt>
                <c:pt idx="24">
                  <c:v>0.43636363636363645</c:v>
                </c:pt>
                <c:pt idx="26">
                  <c:v>0.45454545454545464</c:v>
                </c:pt>
                <c:pt idx="38">
                  <c:v>0.47272727272727283</c:v>
                </c:pt>
                <c:pt idx="39">
                  <c:v>0.49090909090909102</c:v>
                </c:pt>
                <c:pt idx="40">
                  <c:v>0.50909090909090915</c:v>
                </c:pt>
                <c:pt idx="41">
                  <c:v>0.52727272727272734</c:v>
                </c:pt>
                <c:pt idx="42">
                  <c:v>0.54545454545454553</c:v>
                </c:pt>
                <c:pt idx="43">
                  <c:v>0.56363636363636371</c:v>
                </c:pt>
                <c:pt idx="44">
                  <c:v>0.5818181818181819</c:v>
                </c:pt>
                <c:pt idx="45">
                  <c:v>0.60000000000000009</c:v>
                </c:pt>
                <c:pt idx="46">
                  <c:v>0.61818181818181828</c:v>
                </c:pt>
                <c:pt idx="47">
                  <c:v>0.63636363636363646</c:v>
                </c:pt>
                <c:pt idx="48">
                  <c:v>0.65454545454545465</c:v>
                </c:pt>
                <c:pt idx="49">
                  <c:v>0.67272727272727284</c:v>
                </c:pt>
                <c:pt idx="50">
                  <c:v>0.69090909090909103</c:v>
                </c:pt>
                <c:pt idx="51">
                  <c:v>0.70909090909090922</c:v>
                </c:pt>
                <c:pt idx="52">
                  <c:v>0.7272727272727274</c:v>
                </c:pt>
                <c:pt idx="53">
                  <c:v>0.74545454545454559</c:v>
                </c:pt>
                <c:pt idx="54">
                  <c:v>0.76363636363636378</c:v>
                </c:pt>
                <c:pt idx="55">
                  <c:v>1</c:v>
                </c:pt>
              </c:numCache>
            </c:numRef>
          </c:cat>
          <c:val>
            <c:numRef>
              <c:f>'Overall Metrics'!$U$2:$U$57</c:f>
              <c:numCache>
                <c:formatCode>General</c:formatCode>
                <c:ptCount val="56"/>
                <c:pt idx="0">
                  <c:v>192</c:v>
                </c:pt>
                <c:pt idx="1">
                  <c:v>1</c:v>
                </c:pt>
                <c:pt idx="2">
                  <c:v>3</c:v>
                </c:pt>
                <c:pt idx="3">
                  <c:v>5</c:v>
                </c:pt>
                <c:pt idx="4">
                  <c:v>0</c:v>
                </c:pt>
                <c:pt idx="5">
                  <c:v>5</c:v>
                </c:pt>
                <c:pt idx="6">
                  <c:v>0</c:v>
                </c:pt>
                <c:pt idx="7">
                  <c:v>1</c:v>
                </c:pt>
                <c:pt idx="8">
                  <c:v>0</c:v>
                </c:pt>
                <c:pt idx="9">
                  <c:v>1</c:v>
                </c:pt>
                <c:pt idx="10">
                  <c:v>0</c:v>
                </c:pt>
                <c:pt idx="11">
                  <c:v>0</c:v>
                </c:pt>
                <c:pt idx="12">
                  <c:v>0</c:v>
                </c:pt>
                <c:pt idx="13">
                  <c:v>0</c:v>
                </c:pt>
                <c:pt idx="14">
                  <c:v>0</c:v>
                </c:pt>
                <c:pt idx="15">
                  <c:v>0</c:v>
                </c:pt>
                <c:pt idx="16">
                  <c:v>0</c:v>
                </c:pt>
                <c:pt idx="17">
                  <c:v>0</c:v>
                </c:pt>
                <c:pt idx="18">
                  <c:v>3</c:v>
                </c:pt>
                <c:pt idx="19">
                  <c:v>0</c:v>
                </c:pt>
                <c:pt idx="20">
                  <c:v>0</c:v>
                </c:pt>
                <c:pt idx="21">
                  <c:v>0</c:v>
                </c:pt>
                <c:pt idx="22">
                  <c:v>0</c:v>
                </c:pt>
                <c:pt idx="23">
                  <c:v>0</c:v>
                </c:pt>
                <c:pt idx="24">
                  <c:v>0</c:v>
                </c:pt>
                <c:pt idx="25">
                  <c:v>-2</c:v>
                </c:pt>
                <c:pt idx="26">
                  <c:v>0</c:v>
                </c:pt>
                <c:pt idx="27">
                  <c:v>0</c:v>
                </c:pt>
                <c:pt idx="28">
                  <c:v>0</c:v>
                </c:pt>
                <c:pt idx="29">
                  <c:v>0</c:v>
                </c:pt>
                <c:pt idx="30">
                  <c:v>0</c:v>
                </c:pt>
                <c:pt idx="31">
                  <c:v>0</c:v>
                </c:pt>
                <c:pt idx="32">
                  <c:v>0</c:v>
                </c:pt>
                <c:pt idx="33">
                  <c:v>0</c:v>
                </c:pt>
                <c:pt idx="34">
                  <c:v>0</c:v>
                </c:pt>
                <c:pt idx="35">
                  <c:v>0</c:v>
                </c:pt>
                <c:pt idx="36">
                  <c:v>-2</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2</c:v>
                </c:pt>
              </c:numCache>
            </c:numRef>
          </c:val>
          <c:extLst>
            <c:ext xmlns:c16="http://schemas.microsoft.com/office/drawing/2014/chart" uri="{C3380CC4-5D6E-409C-BE32-E72D297353CC}">
              <c16:uniqueId val="{00000000-D33F-4B10-8307-7F1525545C8A}"/>
            </c:ext>
          </c:extLst>
        </c:ser>
        <c:dLbls>
          <c:showLegendKey val="0"/>
          <c:showVal val="0"/>
          <c:showCatName val="0"/>
          <c:showSerName val="0"/>
          <c:showPercent val="0"/>
          <c:showBubbleSize val="0"/>
        </c:dLbls>
        <c:gapWidth val="0"/>
        <c:axId val="384089072"/>
        <c:axId val="384094168"/>
      </c:barChart>
      <c:catAx>
        <c:axId val="384089072"/>
        <c:scaling>
          <c:orientation val="minMax"/>
        </c:scaling>
        <c:delete val="1"/>
        <c:axPos val="b"/>
        <c:numFmt formatCode="#,##0.00" sourceLinked="1"/>
        <c:majorTickMark val="out"/>
        <c:minorTickMark val="none"/>
        <c:tickLblPos val="none"/>
        <c:crossAx val="384094168"/>
        <c:crosses val="autoZero"/>
        <c:auto val="1"/>
        <c:lblAlgn val="ctr"/>
        <c:lblOffset val="100"/>
        <c:noMultiLvlLbl val="0"/>
      </c:catAx>
      <c:valAx>
        <c:axId val="384094168"/>
        <c:scaling>
          <c:orientation val="minMax"/>
        </c:scaling>
        <c:delete val="1"/>
        <c:axPos val="l"/>
        <c:numFmt formatCode="General" sourceLinked="1"/>
        <c:majorTickMark val="out"/>
        <c:minorTickMark val="none"/>
        <c:tickLblPos val="none"/>
        <c:crossAx val="38408907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W418" totalsRowShown="0" headerRowDxfId="110" dataDxfId="109">
  <autoFilter ref="A2:W418" xr:uid="{00000000-0009-0000-0100-000001000000}"/>
  <sortState ref="A80:W360">
    <sortCondition ref="R2:R418"/>
  </sortState>
  <tableColumns count="23">
    <tableColumn id="1" xr3:uid="{00000000-0010-0000-0000-000001000000}" name="Vertex 1" dataDxfId="108" dataCellStyle="NodeXL Required"/>
    <tableColumn id="2" xr3:uid="{00000000-0010-0000-0000-000002000000}" name="Vertex 2" dataDxfId="107" dataCellStyle="NodeXL Required"/>
    <tableColumn id="3" xr3:uid="{00000000-0010-0000-0000-000003000000}" name="Color" dataDxfId="106" dataCellStyle="NodeXL Visual Property"/>
    <tableColumn id="4" xr3:uid="{00000000-0010-0000-0000-000004000000}" name="Width" dataDxfId="105" dataCellStyle="NodeXL Visual Property"/>
    <tableColumn id="11" xr3:uid="{00000000-0010-0000-0000-00000B000000}" name="Style" dataDxfId="104" dataCellStyle="NodeXL Visual Property"/>
    <tableColumn id="5" xr3:uid="{00000000-0010-0000-0000-000005000000}" name="Opacity" dataDxfId="103" dataCellStyle="NodeXL Visual Property"/>
    <tableColumn id="6" xr3:uid="{00000000-0010-0000-0000-000006000000}" name="Visibility" dataDxfId="102" dataCellStyle="NodeXL Visual Property"/>
    <tableColumn id="10" xr3:uid="{00000000-0010-0000-0000-00000A000000}" name="Label" dataDxfId="101" dataCellStyle="NodeXL Label"/>
    <tableColumn id="12" xr3:uid="{00000000-0010-0000-0000-00000C000000}" name="Label Text Color" dataDxfId="100" dataCellStyle="NodeXL Label"/>
    <tableColumn id="13" xr3:uid="{00000000-0010-0000-0000-00000D000000}" name="Label Font Size" dataDxfId="99" dataCellStyle="NodeXL Label"/>
    <tableColumn id="14" xr3:uid="{00000000-0010-0000-0000-00000E000000}" name="Reciprocated?" dataDxfId="98" dataCellStyle="NodeXL Graph Metric"/>
    <tableColumn id="7" xr3:uid="{00000000-0010-0000-0000-000007000000}" name="ID" dataDxfId="97" dataCellStyle="NodeXL Do Not Edit"/>
    <tableColumn id="9" xr3:uid="{00000000-0010-0000-0000-000009000000}" name="Dynamic Filter" dataDxfId="96" dataCellStyle="NodeXL Do Not Edit">
      <calculatedColumnFormula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calculatedColumnFormula>
    </tableColumn>
    <tableColumn id="8" xr3:uid="{00000000-0010-0000-0000-000008000000}" name="Add Your Own Columns Here" dataDxfId="95" dataCellStyle="NodeXL Other Column"/>
    <tableColumn id="18" xr3:uid="{00000000-0010-0000-0000-000012000000}" name="Código" dataDxfId="94" dataCellStyle="NodeXL Other Column"/>
    <tableColumn id="22" xr3:uid="{00000000-0010-0000-0000-000016000000}" name="Relación" dataDxfId="93" dataCellStyle="NodeXL Other Column"/>
    <tableColumn id="21" xr3:uid="{00000000-0010-0000-0000-000015000000}" name="Categoría" dataDxfId="92" dataCellStyle="NodeXL Other Column"/>
    <tableColumn id="20" xr3:uid="{00000000-0010-0000-0000-000014000000}" name="Start_x000a_Time" dataDxfId="91" dataCellStyle="NodeXL Other Column"/>
    <tableColumn id="19" xr3:uid="{00000000-0010-0000-0000-000013000000}" name="End_x000a_Time" dataDxfId="90" dataCellStyle="NodeXL Other Column"/>
    <tableColumn id="17" xr3:uid="{00000000-0010-0000-0000-000011000000}" name="Duración_x000a_(meses)" dataDxfId="89" dataCellStyle="NodeXL Other Column"/>
    <tableColumn id="16" xr3:uid="{00000000-0010-0000-0000-000010000000}" name="Nombre_x000a_Iniciativa" dataDxfId="2"/>
    <tableColumn id="15" xr3:uid="{00000000-0010-0000-0000-00000F000000}" name="Vertex 1 Group" dataDxfId="1" dataCellStyle="Normal"/>
    <tableColumn id="23" xr3:uid="{00000000-0010-0000-0000-000017000000}" name="Vertex 2 Group" dataDxfId="0"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14" totalsRowShown="0" headerRowDxfId="17">
  <autoFilter ref="M1:P14"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GroupEdges" displayName="GroupEdges" ref="A2:C52" totalsRowShown="0" headerRowDxfId="16" dataDxfId="15" dataCellStyle="NodeXL Required">
  <autoFilter ref="A2:C52" xr:uid="{00000000-0009-0000-0100-00000A000000}"/>
  <tableColumns count="3">
    <tableColumn id="1" xr3:uid="{00000000-0010-0000-0A00-000001000000}" name="Group 1" dataDxfId="14" dataCellStyle="NodeXL Required"/>
    <tableColumn id="2" xr3:uid="{00000000-0010-0000-0A00-000002000000}" name="Group 2" dataDxfId="13" dataCellStyle="NodeXL Required"/>
    <tableColumn id="3" xr3:uid="{00000000-0010-0000-0A00-000003000000}" name="Edges" dataDxfId="12" dataCellStyle="NodeXL Graph Metric"/>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D250" totalsRowShown="0" headerRowDxfId="88" dataDxfId="87">
  <autoFilter ref="A2:AD250" xr:uid="{00000000-0009-0000-0100-000002000000}"/>
  <sortState ref="A3:AC249">
    <sortCondition ref="B2:B249"/>
  </sortState>
  <tableColumns count="30">
    <tableColumn id="1" xr3:uid="{00000000-0010-0000-0100-000001000000}" name="Vertex" dataDxfId="86" dataCellStyle="NodeXL Required"/>
    <tableColumn id="2" xr3:uid="{00000000-0010-0000-0100-000002000000}" name="Color" dataDxfId="85" dataCellStyle="NodeXL Visual Property"/>
    <tableColumn id="5" xr3:uid="{00000000-0010-0000-0100-000005000000}" name="Shape" dataDxfId="84" dataCellStyle="NodeXL Visual Property"/>
    <tableColumn id="6" xr3:uid="{00000000-0010-0000-0100-000006000000}" name="Size" dataDxfId="83" dataCellStyle="NodeXL Visual Property"/>
    <tableColumn id="4" xr3:uid="{00000000-0010-0000-0100-000004000000}" name="Opacity" dataDxfId="82" dataCellStyle="NodeXL Visual Property"/>
    <tableColumn id="7" xr3:uid="{00000000-0010-0000-0100-000007000000}" name="Image File" dataDxfId="81" dataCellStyle="NodeXL Visual Property"/>
    <tableColumn id="3" xr3:uid="{00000000-0010-0000-0100-000003000000}" name="Visibility" dataDxfId="80" dataCellStyle="NodeXL Visual Property"/>
    <tableColumn id="10" xr3:uid="{00000000-0010-0000-0100-00000A000000}" name="Label" dataDxfId="79" dataCellStyle="NodeXL Label"/>
    <tableColumn id="16" xr3:uid="{00000000-0010-0000-0100-000010000000}" name="Label Fill Color" dataDxfId="78" dataCellStyle="NodeXL Label"/>
    <tableColumn id="9" xr3:uid="{00000000-0010-0000-0100-000009000000}" name="Label Position" dataDxfId="77" dataCellStyle="NodeXL Label"/>
    <tableColumn id="8" xr3:uid="{00000000-0010-0000-0100-000008000000}" name="Tooltip" dataDxfId="76" dataCellStyle="NodeXL Label"/>
    <tableColumn id="18" xr3:uid="{00000000-0010-0000-0100-000012000000}" name="Layout Order" dataDxfId="75" dataCellStyle="NodeXL Layout"/>
    <tableColumn id="13" xr3:uid="{00000000-0010-0000-0100-00000D000000}" name="X" dataDxfId="74" dataCellStyle="NodeXL Layout"/>
    <tableColumn id="14" xr3:uid="{00000000-0010-0000-0100-00000E000000}" name="Y" dataDxfId="73" dataCellStyle="NodeXL Layout"/>
    <tableColumn id="12" xr3:uid="{00000000-0010-0000-0100-00000C000000}" name="Locked?" dataDxfId="72" dataCellStyle="NodeXL Layout"/>
    <tableColumn id="19" xr3:uid="{00000000-0010-0000-0100-000013000000}" name="Polar R" dataDxfId="71" dataCellStyle="NodeXL Layout"/>
    <tableColumn id="20" xr3:uid="{00000000-0010-0000-0100-000014000000}" name="Polar Angle" dataDxfId="70" dataCellStyle="NodeXL Layout"/>
    <tableColumn id="21" xr3:uid="{00000000-0010-0000-0100-000015000000}" name="Degree" dataDxfId="69" dataCellStyle="NodeXL Graph Metric"/>
    <tableColumn id="22" xr3:uid="{00000000-0010-0000-0100-000016000000}" name="In-Degree" dataDxfId="68" dataCellStyle="NodeXL Graph Metric"/>
    <tableColumn id="23" xr3:uid="{00000000-0010-0000-0100-000017000000}" name="Out-Degree" dataDxfId="67" dataCellStyle="NodeXL Graph Metric"/>
    <tableColumn id="24" xr3:uid="{00000000-0010-0000-0100-000018000000}" name="Betweenness Centrality" dataDxfId="66" dataCellStyle="NodeXL Graph Metric"/>
    <tableColumn id="25" xr3:uid="{00000000-0010-0000-0100-000019000000}" name="Closeness Centrality" dataDxfId="65" dataCellStyle="NodeXL Graph Metric"/>
    <tableColumn id="26" xr3:uid="{00000000-0010-0000-0100-00001A000000}" name="Eigenvector Centrality" dataDxfId="64" dataCellStyle="NodeXL Graph Metric"/>
    <tableColumn id="15" xr3:uid="{00000000-0010-0000-0100-00000F000000}" name="PageRank" dataDxfId="63" dataCellStyle="NodeXL Graph Metric"/>
    <tableColumn id="27" xr3:uid="{00000000-0010-0000-0100-00001B000000}" name="Clustering Coefficient" dataDxfId="62" dataCellStyle="NodeXL Graph Metric"/>
    <tableColumn id="29" xr3:uid="{00000000-0010-0000-0100-00001D000000}" name="Reciprocated Vertex Pair Ratio" dataDxfId="61" dataCellStyle="NodeXL Graph Metric"/>
    <tableColumn id="11" xr3:uid="{00000000-0010-0000-0100-00000B000000}" name="ID" dataDxfId="60" dataCellStyle="NodeXL Do Not Edit"/>
    <tableColumn id="28" xr3:uid="{00000000-0010-0000-0100-00001C000000}" name="Dynamic Filter" dataDxfId="59" dataCellStyle="NodeXL Do Not Edit">
      <calculatedColumnFormula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calculatedColumnFormula>
    </tableColumn>
    <tableColumn id="17" xr3:uid="{00000000-0010-0000-0100-000011000000}" name="Add Your Own Columns Here" dataDxfId="4" dataCellStyle="NodeXL Other Column"/>
    <tableColumn id="30" xr3:uid="{00000000-0010-0000-0100-00001E000000}" name="Vertex Group" dataDxfId="3" dataCellStyle="Normal">
      <calculatedColumnFormula>REPLACE(INDEX(GroupVertices[Group], MATCH(Vertices[[#This Row],[Vertex]],GroupVertices[Vertex],0)),1,1,"")</calculatedColumnFormula>
    </table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14" totalsRowShown="0" headerRowDxfId="58">
  <autoFilter ref="A2:X14" xr:uid="{00000000-0009-0000-0100-000004000000}"/>
  <tableColumns count="24">
    <tableColumn id="1" xr3:uid="{00000000-0010-0000-0200-000001000000}" name="Group" dataDxfId="11" dataCellStyle="NodeXL Required"/>
    <tableColumn id="2" xr3:uid="{00000000-0010-0000-0200-000002000000}" name="Vertex Color" dataDxfId="10" dataCellStyle="NodeXL Visual Property"/>
    <tableColumn id="3" xr3:uid="{00000000-0010-0000-0200-000003000000}" name="Vertex Shape" dataDxfId="8" dataCellStyle="NodeXL Visual Property"/>
    <tableColumn id="22" xr3:uid="{00000000-0010-0000-0200-000016000000}" name="Visibility" dataDxfId="9" dataCellStyle="NodeXL Visual Property"/>
    <tableColumn id="4" xr3:uid="{00000000-0010-0000-0200-000004000000}" name="Collapsed?" dataCellStyle="NodeXL Visual Property"/>
    <tableColumn id="18" xr3:uid="{00000000-0010-0000-0200-000012000000}" name="Label" dataDxfId="57"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6" dataCellStyle="NodeXL Do Not Edit"/>
    <tableColumn id="19" xr3:uid="{00000000-0010-0000-0200-000013000000}" name="Collapsed Properties" dataDxfId="55" dataCellStyle="NodeXL Do Not Edit"/>
    <tableColumn id="5" xr3:uid="{00000000-0010-0000-0200-000005000000}" name="Vertices" dataDxfId="54" dataCellStyle="NodeXL Graph Metric"/>
    <tableColumn id="7" xr3:uid="{00000000-0010-0000-0200-000007000000}" name="Unique Edges" dataDxfId="53" dataCellStyle="NodeXL Graph Metric"/>
    <tableColumn id="8" xr3:uid="{00000000-0010-0000-0200-000008000000}" name="Edges With Duplicates" dataDxfId="52" dataCellStyle="NodeXL Graph Metric"/>
    <tableColumn id="9" xr3:uid="{00000000-0010-0000-0200-000009000000}" name="Total Edges" dataDxfId="51" dataCellStyle="NodeXL Graph Metric"/>
    <tableColumn id="10" xr3:uid="{00000000-0010-0000-0200-00000A000000}" name="Self-Loops" dataDxfId="50" dataCellStyle="NodeXL Graph Metric"/>
    <tableColumn id="24" xr3:uid="{00000000-0010-0000-0200-000018000000}" name="Reciprocated Vertex Pair Ratio" dataDxfId="49" dataCellStyle="NodeXL Graph Metric"/>
    <tableColumn id="25" xr3:uid="{00000000-0010-0000-0200-000019000000}" name="Reciprocated Edge Ratio" dataDxfId="48" dataCellStyle="NodeXL Graph Metric"/>
    <tableColumn id="11" xr3:uid="{00000000-0010-0000-0200-00000B000000}" name="Connected Components" dataDxfId="47" dataCellStyle="NodeXL Graph Metric"/>
    <tableColumn id="12" xr3:uid="{00000000-0010-0000-0200-00000C000000}" name="Single-Vertex Connected Components" dataDxfId="46" dataCellStyle="NodeXL Graph Metric"/>
    <tableColumn id="13" xr3:uid="{00000000-0010-0000-0200-00000D000000}" name="Maximum Vertices in a Connected Component" dataDxfId="45" dataCellStyle="NodeXL Graph Metric"/>
    <tableColumn id="14" xr3:uid="{00000000-0010-0000-0200-00000E000000}" name="Maximum Edges in a Connected Component" dataDxfId="44" dataCellStyle="NodeXL Graph Metric"/>
    <tableColumn id="15" xr3:uid="{00000000-0010-0000-0200-00000F000000}" name="Maximum Geodesic Distance (Diameter)" dataDxfId="43" dataCellStyle="NodeXL Graph Metric"/>
    <tableColumn id="16" xr3:uid="{00000000-0010-0000-0200-000010000000}" name="Average Geodesic Distance" dataDxfId="42" dataCellStyle="NodeXL Graph Metric"/>
    <tableColumn id="17" xr3:uid="{00000000-0010-0000-0200-000011000000}" name="Graph Density" dataDxfId="41"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48" totalsRowShown="0" headerRowDxfId="40" dataDxfId="39">
  <autoFilter ref="A1:C248" xr:uid="{00000000-0009-0000-0100-000005000000}"/>
  <tableColumns count="3">
    <tableColumn id="1" xr3:uid="{00000000-0010-0000-0300-000001000000}" name="Group" dataDxfId="7" dataCellStyle="Normal"/>
    <tableColumn id="2" xr3:uid="{00000000-0010-0000-0300-000002000000}" name="Vertex" dataDxfId="6" dataCellStyle="Normal"/>
    <tableColumn id="3" xr3:uid="{00000000-0010-0000-0300-000003000000}" name="Vertex ID" dataDxfId="5" dataCellStyle="Normal">
      <calculatedColumnFormula>VLOOKUP(GroupVertices[[#This Row],[Vertex]], Vertices[], MATCH("ID", Vertices[#Headers], 0), 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38" dataCellStyle="NodeXL Graph Metric"/>
    <tableColumn id="2" xr3:uid="{00000000-0010-0000-0400-000002000000}" name="Value" dataDxfId="37"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57" totalsRowShown="0">
  <autoFilter ref="D1:U57" xr:uid="{00000000-0009-0000-0100-000003000000}"/>
  <tableColumns count="18">
    <tableColumn id="1" xr3:uid="{00000000-0010-0000-0500-000001000000}" name="Degree Bin" dataDxfId="36"/>
    <tableColumn id="2" xr3:uid="{00000000-0010-0000-0500-000002000000}" name="Degree Frequency" dataDxfId="35">
      <calculatedColumnFormula>COUNTIF(Vertices[Degree], "&gt;= " &amp; D2) - COUNTIF(Vertices[Degree], "&gt;=" &amp; D3)</calculatedColumnFormula>
    </tableColumn>
    <tableColumn id="3" xr3:uid="{00000000-0010-0000-0500-000003000000}" name="In-Degree Bin" dataDxfId="34"/>
    <tableColumn id="4" xr3:uid="{00000000-0010-0000-0500-000004000000}" name="In-Degree Frequency" dataDxfId="33">
      <calculatedColumnFormula>COUNTIF(Vertices[In-Degree], "&gt;= " &amp; F2) - COUNTIF(Vertices[In-Degree], "&gt;=" &amp; F3)</calculatedColumnFormula>
    </tableColumn>
    <tableColumn id="5" xr3:uid="{00000000-0010-0000-0500-000005000000}" name="Out-Degree Bin" dataDxfId="32"/>
    <tableColumn id="6" xr3:uid="{00000000-0010-0000-0500-000006000000}" name="Out-Degree Frequency" dataDxfId="31">
      <calculatedColumnFormula>COUNTIF(Vertices[Out-Degree], "&gt;= " &amp; H2) - COUNTIF(Vertices[Out-Degree], "&gt;=" &amp; H3)</calculatedColumnFormula>
    </tableColumn>
    <tableColumn id="7" xr3:uid="{00000000-0010-0000-0500-000007000000}" name="Betweenness Centrality Bin" dataDxfId="30"/>
    <tableColumn id="8" xr3:uid="{00000000-0010-0000-0500-000008000000}" name="Betweenness Centrality Frequency" dataDxfId="29">
      <calculatedColumnFormula>COUNTIF(Vertices[Betweenness Centrality], "&gt;= " &amp; J2) - COUNTIF(Vertices[Betweenness Centrality], "&gt;=" &amp; J3)</calculatedColumnFormula>
    </tableColumn>
    <tableColumn id="9" xr3:uid="{00000000-0010-0000-0500-000009000000}" name="Closeness Centrality Bin" dataDxfId="28"/>
    <tableColumn id="10" xr3:uid="{00000000-0010-0000-0500-00000A000000}" name="Closeness Centrality Frequency" dataDxfId="27">
      <calculatedColumnFormula>COUNTIF(Vertices[Closeness Centrality], "&gt;= " &amp; L2) - COUNTIF(Vertices[Closeness Centrality], "&gt;=" &amp; L3)</calculatedColumnFormula>
    </tableColumn>
    <tableColumn id="11" xr3:uid="{00000000-0010-0000-0500-00000B000000}" name="Eigenvector Centrality Bin" dataDxfId="26"/>
    <tableColumn id="12" xr3:uid="{00000000-0010-0000-0500-00000C000000}" name="Eigenvector Centrality Frequency" dataDxfId="25">
      <calculatedColumnFormula>COUNTIF(Vertices[Eigenvector Centrality], "&gt;= " &amp; N2) - COUNTIF(Vertices[Eigenvector Centrality], "&gt;=" &amp; N3)</calculatedColumnFormula>
    </tableColumn>
    <tableColumn id="18" xr3:uid="{00000000-0010-0000-0500-000012000000}" name="PageRank Bin" dataDxfId="24"/>
    <tableColumn id="17" xr3:uid="{00000000-0010-0000-0500-000011000000}" name="PageRank Frequency" dataDxfId="23">
      <calculatedColumnFormula>COUNTIF(Vertices[Eigenvector Centrality], "&gt;= " &amp; P2) - COUNTIF(Vertices[Eigenvector Centrality], "&gt;=" &amp; P3)</calculatedColumnFormula>
    </tableColumn>
    <tableColumn id="13" xr3:uid="{00000000-0010-0000-0500-00000D000000}" name="Clustering Coefficient Bin" dataDxfId="22"/>
    <tableColumn id="14" xr3:uid="{00000000-0010-0000-0500-00000E000000}" name="Clustering Coefficient Frequency" dataDxfId="21">
      <calculatedColumnFormula>COUNTIF(Vertices[Clustering Coefficient], "&gt;= " &amp; R2) - COUNTIF(Vertices[Clustering Coefficient], "&gt;=" &amp; R3)</calculatedColumnFormula>
    </tableColumn>
    <tableColumn id="15" xr3:uid="{00000000-0010-0000-0500-00000F000000}" name="Dynamic Filter Bin" dataDxfId="20"/>
    <tableColumn id="16" xr3:uid="{00000000-0010-0000-0500-000010000000}" name="Dynamic Filter Frequency" dataDxfId="19">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41:B44" totalsRowShown="0" dataCellStyle="NodeXL Graph Metric">
  <autoFilter ref="A41:B44"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8">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418"/>
  <sheetViews>
    <sheetView workbookViewId="0">
      <pane xSplit="2" ySplit="2" topLeftCell="H3" activePane="bottomRight" state="frozen"/>
      <selection pane="topRight" activeCell="C1" sqref="C1"/>
      <selection pane="bottomLeft" activeCell="A3" sqref="A3"/>
      <selection pane="bottomRight" activeCell="B19" sqref="B19"/>
    </sheetView>
  </sheetViews>
  <sheetFormatPr baseColWidth="10" defaultColWidth="8.88671875" defaultRowHeight="14.4" x14ac:dyDescent="0.3"/>
  <cols>
    <col min="1" max="1" width="20.44140625" style="1" bestFit="1" customWidth="1"/>
    <col min="2" max="2" width="2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customWidth="1"/>
    <col min="12" max="12" width="11" hidden="1" customWidth="1"/>
    <col min="13" max="13" width="10.88671875" hidden="1" customWidth="1"/>
    <col min="14" max="14" width="16" bestFit="1" customWidth="1"/>
    <col min="15" max="20" width="16" customWidth="1"/>
    <col min="22" max="23" width="7.88671875" bestFit="1" customWidth="1"/>
  </cols>
  <sheetData>
    <row r="1" spans="1:23" x14ac:dyDescent="0.3">
      <c r="C1" s="55" t="s">
        <v>40</v>
      </c>
      <c r="D1" s="56"/>
      <c r="E1" s="56"/>
      <c r="F1" s="56"/>
      <c r="G1" s="55"/>
      <c r="H1" s="57" t="s">
        <v>44</v>
      </c>
      <c r="I1" s="58"/>
      <c r="J1" s="58"/>
      <c r="K1" s="59" t="s">
        <v>43</v>
      </c>
      <c r="L1" s="60" t="s">
        <v>41</v>
      </c>
      <c r="M1" s="60"/>
      <c r="N1" s="61" t="s">
        <v>42</v>
      </c>
      <c r="O1" s="11"/>
      <c r="P1" s="11"/>
      <c r="Q1" s="11"/>
      <c r="R1" s="11"/>
      <c r="S1" s="11"/>
      <c r="T1" s="11"/>
    </row>
    <row r="2" spans="1:23" ht="30" customHeight="1" x14ac:dyDescent="0.3">
      <c r="A2" s="43" t="s">
        <v>0</v>
      </c>
      <c r="B2" s="43" t="s">
        <v>1</v>
      </c>
      <c r="C2" s="44" t="s">
        <v>2</v>
      </c>
      <c r="D2" s="44" t="s">
        <v>3</v>
      </c>
      <c r="E2" s="44" t="s">
        <v>130</v>
      </c>
      <c r="F2" s="44" t="s">
        <v>4</v>
      </c>
      <c r="G2" s="44" t="s">
        <v>11</v>
      </c>
      <c r="H2" s="43" t="s">
        <v>47</v>
      </c>
      <c r="I2" s="44" t="s">
        <v>160</v>
      </c>
      <c r="J2" s="44" t="s">
        <v>161</v>
      </c>
      <c r="K2" s="44" t="s">
        <v>165</v>
      </c>
      <c r="L2" s="44" t="s">
        <v>12</v>
      </c>
      <c r="M2" s="44" t="s">
        <v>39</v>
      </c>
      <c r="N2" s="44" t="s">
        <v>26</v>
      </c>
      <c r="O2" s="54" t="s">
        <v>175</v>
      </c>
      <c r="P2" s="54" t="s">
        <v>176</v>
      </c>
      <c r="Q2" s="54" t="s">
        <v>177</v>
      </c>
      <c r="R2" s="54" t="s">
        <v>178</v>
      </c>
      <c r="S2" s="54" t="s">
        <v>179</v>
      </c>
      <c r="T2" s="54" t="s">
        <v>180</v>
      </c>
      <c r="U2" s="54" t="s">
        <v>181</v>
      </c>
      <c r="V2" s="10" t="s">
        <v>776</v>
      </c>
      <c r="W2" s="10" t="s">
        <v>777</v>
      </c>
    </row>
    <row r="3" spans="1:23" ht="15" customHeight="1" x14ac:dyDescent="0.3">
      <c r="A3" s="67" t="s">
        <v>196</v>
      </c>
      <c r="B3" s="67" t="s">
        <v>197</v>
      </c>
      <c r="C3" s="68"/>
      <c r="D3" s="69"/>
      <c r="E3" s="68"/>
      <c r="F3" s="70"/>
      <c r="G3" s="68" t="s">
        <v>184</v>
      </c>
      <c r="H3" s="49"/>
      <c r="I3" s="50"/>
      <c r="J3" s="50"/>
      <c r="K3" s="51"/>
      <c r="L3" s="52">
        <v>3</v>
      </c>
      <c r="M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 s="53"/>
      <c r="O3" s="75" t="s">
        <v>414</v>
      </c>
      <c r="P3" s="75" t="s">
        <v>414</v>
      </c>
      <c r="Q3" s="75">
        <v>1</v>
      </c>
      <c r="R3" s="86">
        <v>42370</v>
      </c>
      <c r="S3" s="86">
        <f>EDATE(Edges[[#This Row],[Start
Time]],Edges[[#This Row],[Duración
(meses)]])</f>
        <v>43101</v>
      </c>
      <c r="T3" s="75">
        <v>24</v>
      </c>
      <c r="U3" s="76" t="s">
        <v>415</v>
      </c>
      <c r="V3" s="145" t="str">
        <f>REPLACE(INDEX(GroupVertices[Group], MATCH(Edges[[#This Row],[Vertex 1]],GroupVertices[Vertex],0)),1,1,"")</f>
        <v>7</v>
      </c>
      <c r="W3" s="145" t="str">
        <f>REPLACE(INDEX(GroupVertices[Group], MATCH(Edges[[#This Row],[Vertex 2]],GroupVertices[Vertex],0)),1,1,"")</f>
        <v>5</v>
      </c>
    </row>
    <row r="4" spans="1:23" ht="15" customHeight="1" x14ac:dyDescent="0.3">
      <c r="A4" s="67" t="s">
        <v>188</v>
      </c>
      <c r="B4" s="67" t="s">
        <v>192</v>
      </c>
      <c r="C4" s="68"/>
      <c r="D4" s="69"/>
      <c r="E4" s="68"/>
      <c r="F4" s="70"/>
      <c r="G4" s="68" t="s">
        <v>184</v>
      </c>
      <c r="H4" s="49"/>
      <c r="I4" s="50"/>
      <c r="J4" s="50"/>
      <c r="K4" s="51"/>
      <c r="L4" s="52">
        <v>4</v>
      </c>
      <c r="M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 s="53"/>
      <c r="O4" s="75" t="s">
        <v>408</v>
      </c>
      <c r="P4" s="75" t="s">
        <v>408</v>
      </c>
      <c r="Q4" s="75">
        <v>1</v>
      </c>
      <c r="R4" s="86">
        <v>42370</v>
      </c>
      <c r="S4" s="86">
        <f>EDATE(Edges[[#This Row],[Start
Time]],Edges[[#This Row],[Duración
(meses)]])</f>
        <v>42552</v>
      </c>
      <c r="T4" s="75">
        <v>6</v>
      </c>
      <c r="U4" s="76" t="s">
        <v>409</v>
      </c>
      <c r="V4" s="145"/>
      <c r="W4" s="145"/>
    </row>
    <row r="5" spans="1:23" x14ac:dyDescent="0.3">
      <c r="A5" s="67" t="s">
        <v>197</v>
      </c>
      <c r="B5" s="67" t="s">
        <v>258</v>
      </c>
      <c r="C5" s="68"/>
      <c r="D5" s="69"/>
      <c r="E5" s="68"/>
      <c r="F5" s="70"/>
      <c r="G5" s="68" t="s">
        <v>184</v>
      </c>
      <c r="H5" s="49"/>
      <c r="I5" s="50"/>
      <c r="J5" s="50"/>
      <c r="K5" s="51"/>
      <c r="L5" s="52">
        <v>5</v>
      </c>
      <c r="M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 s="53"/>
      <c r="O5" s="75" t="s">
        <v>414</v>
      </c>
      <c r="P5" s="75" t="s">
        <v>511</v>
      </c>
      <c r="Q5" s="75">
        <v>1</v>
      </c>
      <c r="R5" s="86">
        <v>42370</v>
      </c>
      <c r="S5" s="86">
        <f>EDATE(Edges[[#This Row],[Start
Time]],Edges[[#This Row],[Duración
(meses)]])</f>
        <v>43101</v>
      </c>
      <c r="T5" s="75">
        <v>24</v>
      </c>
      <c r="U5" s="76" t="s">
        <v>415</v>
      </c>
      <c r="V5" s="145"/>
      <c r="W5" s="145"/>
    </row>
    <row r="6" spans="1:23" x14ac:dyDescent="0.3">
      <c r="A6" s="67" t="s">
        <v>217</v>
      </c>
      <c r="B6" s="67" t="s">
        <v>207</v>
      </c>
      <c r="C6" s="68"/>
      <c r="D6" s="69"/>
      <c r="E6" s="68"/>
      <c r="F6" s="70"/>
      <c r="G6" s="68" t="s">
        <v>184</v>
      </c>
      <c r="H6" s="49"/>
      <c r="I6" s="50"/>
      <c r="J6" s="50"/>
      <c r="K6" s="51"/>
      <c r="L6" s="52">
        <v>6</v>
      </c>
      <c r="M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 s="53"/>
      <c r="O6" s="75" t="s">
        <v>447</v>
      </c>
      <c r="P6" s="75" t="s">
        <v>517</v>
      </c>
      <c r="Q6" s="75">
        <v>1</v>
      </c>
      <c r="R6" s="86">
        <v>42644</v>
      </c>
      <c r="S6" s="86">
        <f>EDATE(Edges[[#This Row],[Start
Time]],Edges[[#This Row],[Duración
(meses)]])</f>
        <v>43374</v>
      </c>
      <c r="T6" s="75">
        <v>24</v>
      </c>
      <c r="U6" s="76" t="s">
        <v>448</v>
      </c>
      <c r="V6" s="145"/>
      <c r="W6" s="145"/>
    </row>
    <row r="7" spans="1:23" x14ac:dyDescent="0.3">
      <c r="A7" s="67" t="s">
        <v>229</v>
      </c>
      <c r="B7" s="67" t="s">
        <v>262</v>
      </c>
      <c r="C7" s="68"/>
      <c r="D7" s="69"/>
      <c r="E7" s="68"/>
      <c r="F7" s="70"/>
      <c r="G7" s="68" t="s">
        <v>184</v>
      </c>
      <c r="H7" s="49"/>
      <c r="I7" s="50"/>
      <c r="J7" s="50"/>
      <c r="K7" s="51"/>
      <c r="L7" s="52">
        <v>7</v>
      </c>
      <c r="M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 s="53"/>
      <c r="O7" s="75" t="s">
        <v>469</v>
      </c>
      <c r="P7" s="75" t="s">
        <v>516</v>
      </c>
      <c r="Q7" s="75">
        <v>1</v>
      </c>
      <c r="R7" s="86">
        <v>42644</v>
      </c>
      <c r="S7" s="86">
        <f>EDATE(Edges[[#This Row],[Start
Time]],Edges[[#This Row],[Duración
(meses)]])</f>
        <v>43374</v>
      </c>
      <c r="T7" s="75">
        <v>24</v>
      </c>
      <c r="U7" s="76" t="s">
        <v>470</v>
      </c>
      <c r="V7" s="145"/>
      <c r="W7" s="145"/>
    </row>
    <row r="8" spans="1:23" x14ac:dyDescent="0.3">
      <c r="A8" s="67" t="s">
        <v>225</v>
      </c>
      <c r="B8" s="67" t="s">
        <v>254</v>
      </c>
      <c r="C8" s="68"/>
      <c r="D8" s="69"/>
      <c r="E8" s="68"/>
      <c r="F8" s="70"/>
      <c r="G8" s="68" t="s">
        <v>184</v>
      </c>
      <c r="H8" s="49"/>
      <c r="I8" s="50"/>
      <c r="J8" s="50"/>
      <c r="K8" s="51"/>
      <c r="L8" s="52">
        <v>8</v>
      </c>
      <c r="M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 s="53"/>
      <c r="O8" s="75" t="s">
        <v>461</v>
      </c>
      <c r="P8" s="75" t="s">
        <v>518</v>
      </c>
      <c r="Q8" s="75">
        <v>1</v>
      </c>
      <c r="R8" s="86">
        <v>42644</v>
      </c>
      <c r="S8" s="86">
        <f>EDATE(Edges[[#This Row],[Start
Time]],Edges[[#This Row],[Duración
(meses)]])</f>
        <v>43374</v>
      </c>
      <c r="T8" s="75">
        <v>24</v>
      </c>
      <c r="U8" s="76" t="s">
        <v>462</v>
      </c>
      <c r="V8" s="145"/>
      <c r="W8" s="145"/>
    </row>
    <row r="9" spans="1:23" x14ac:dyDescent="0.3">
      <c r="A9" s="67" t="s">
        <v>182</v>
      </c>
      <c r="B9" s="67" t="s">
        <v>216</v>
      </c>
      <c r="C9" s="68"/>
      <c r="D9" s="69"/>
      <c r="E9" s="68"/>
      <c r="F9" s="70"/>
      <c r="G9" s="68" t="s">
        <v>184</v>
      </c>
      <c r="H9" s="49"/>
      <c r="I9" s="50"/>
      <c r="J9" s="50"/>
      <c r="K9" s="51"/>
      <c r="L9" s="52">
        <v>9</v>
      </c>
      <c r="M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9" s="53"/>
      <c r="O9" s="75" t="s">
        <v>445</v>
      </c>
      <c r="P9" s="75" t="s">
        <v>445</v>
      </c>
      <c r="Q9" s="75">
        <v>1</v>
      </c>
      <c r="R9" s="86">
        <v>42644</v>
      </c>
      <c r="S9" s="86">
        <f>EDATE(Edges[[#This Row],[Start
Time]],Edges[[#This Row],[Duración
(meses)]])</f>
        <v>43374</v>
      </c>
      <c r="T9" s="75">
        <v>24</v>
      </c>
      <c r="U9" s="76" t="s">
        <v>446</v>
      </c>
      <c r="V9" s="145"/>
      <c r="W9" s="145"/>
    </row>
    <row r="10" spans="1:23" x14ac:dyDescent="0.3">
      <c r="A10" s="67" t="s">
        <v>182</v>
      </c>
      <c r="B10" s="67" t="s">
        <v>229</v>
      </c>
      <c r="C10" s="68"/>
      <c r="D10" s="69"/>
      <c r="E10" s="68"/>
      <c r="F10" s="70"/>
      <c r="G10" s="68" t="s">
        <v>184</v>
      </c>
      <c r="H10" s="49"/>
      <c r="I10" s="50"/>
      <c r="J10" s="50"/>
      <c r="K10" s="51"/>
      <c r="L10" s="52">
        <v>10</v>
      </c>
      <c r="M1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0" s="53"/>
      <c r="O10" s="75" t="s">
        <v>469</v>
      </c>
      <c r="P10" s="75" t="s">
        <v>469</v>
      </c>
      <c r="Q10" s="75">
        <v>1</v>
      </c>
      <c r="R10" s="86">
        <v>42644</v>
      </c>
      <c r="S10" s="86">
        <f>EDATE(Edges[[#This Row],[Start
Time]],Edges[[#This Row],[Duración
(meses)]])</f>
        <v>43374</v>
      </c>
      <c r="T10" s="75">
        <v>24</v>
      </c>
      <c r="U10" s="76" t="s">
        <v>470</v>
      </c>
      <c r="V10" s="145"/>
      <c r="W10" s="145"/>
    </row>
    <row r="11" spans="1:23" x14ac:dyDescent="0.3">
      <c r="A11" s="67" t="s">
        <v>182</v>
      </c>
      <c r="B11" s="67" t="s">
        <v>217</v>
      </c>
      <c r="C11" s="68"/>
      <c r="D11" s="69"/>
      <c r="E11" s="68"/>
      <c r="F11" s="70"/>
      <c r="G11" s="68" t="s">
        <v>184</v>
      </c>
      <c r="H11" s="49"/>
      <c r="I11" s="50"/>
      <c r="J11" s="50"/>
      <c r="K11" s="51"/>
      <c r="L11" s="52">
        <v>11</v>
      </c>
      <c r="M1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 s="53"/>
      <c r="O11" s="75" t="s">
        <v>447</v>
      </c>
      <c r="P11" s="75" t="s">
        <v>447</v>
      </c>
      <c r="Q11" s="75">
        <v>1</v>
      </c>
      <c r="R11" s="86">
        <v>42644</v>
      </c>
      <c r="S11" s="86">
        <f>EDATE(Edges[[#This Row],[Start
Time]],Edges[[#This Row],[Duración
(meses)]])</f>
        <v>43374</v>
      </c>
      <c r="T11" s="75">
        <v>24</v>
      </c>
      <c r="U11" s="76" t="s">
        <v>448</v>
      </c>
      <c r="V11" s="145"/>
      <c r="W11" s="145"/>
    </row>
    <row r="12" spans="1:23" x14ac:dyDescent="0.3">
      <c r="A12" s="67" t="s">
        <v>182</v>
      </c>
      <c r="B12" s="67" t="s">
        <v>225</v>
      </c>
      <c r="C12" s="68"/>
      <c r="D12" s="69"/>
      <c r="E12" s="68"/>
      <c r="F12" s="70"/>
      <c r="G12" s="68" t="s">
        <v>184</v>
      </c>
      <c r="H12" s="49"/>
      <c r="I12" s="50"/>
      <c r="J12" s="50"/>
      <c r="K12" s="51"/>
      <c r="L12" s="52">
        <v>12</v>
      </c>
      <c r="M1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 s="53"/>
      <c r="O12" s="75" t="s">
        <v>461</v>
      </c>
      <c r="P12" s="75" t="s">
        <v>461</v>
      </c>
      <c r="Q12" s="75">
        <v>1</v>
      </c>
      <c r="R12" s="86">
        <v>42644</v>
      </c>
      <c r="S12" s="86">
        <f>EDATE(Edges[[#This Row],[Start
Time]],Edges[[#This Row],[Duración
(meses)]])</f>
        <v>43374</v>
      </c>
      <c r="T12" s="75">
        <v>24</v>
      </c>
      <c r="U12" s="76" t="s">
        <v>462</v>
      </c>
      <c r="V12" s="145"/>
      <c r="W12" s="145"/>
    </row>
    <row r="13" spans="1:23" x14ac:dyDescent="0.3">
      <c r="A13" s="67" t="s">
        <v>182</v>
      </c>
      <c r="B13" s="67" t="s">
        <v>240</v>
      </c>
      <c r="C13" s="68"/>
      <c r="D13" s="69"/>
      <c r="E13" s="68"/>
      <c r="F13" s="70"/>
      <c r="G13" s="68" t="s">
        <v>184</v>
      </c>
      <c r="H13" s="49"/>
      <c r="I13" s="50"/>
      <c r="J13" s="50"/>
      <c r="K13" s="51"/>
      <c r="L13" s="52">
        <v>13</v>
      </c>
      <c r="M1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 s="53"/>
      <c r="O13" s="75" t="s">
        <v>495</v>
      </c>
      <c r="P13" s="75" t="s">
        <v>495</v>
      </c>
      <c r="Q13" s="75">
        <v>1</v>
      </c>
      <c r="R13" s="86">
        <v>42644</v>
      </c>
      <c r="S13" s="86">
        <f>EDATE(Edges[[#This Row],[Start
Time]],Edges[[#This Row],[Duración
(meses)]])</f>
        <v>43374</v>
      </c>
      <c r="T13" s="75">
        <v>24</v>
      </c>
      <c r="U13" s="76" t="s">
        <v>496</v>
      </c>
      <c r="V13" s="145"/>
      <c r="W13" s="145"/>
    </row>
    <row r="14" spans="1:23" x14ac:dyDescent="0.3">
      <c r="A14" s="67" t="s">
        <v>196</v>
      </c>
      <c r="B14" s="67" t="s">
        <v>204</v>
      </c>
      <c r="C14" s="68"/>
      <c r="D14" s="69"/>
      <c r="E14" s="68"/>
      <c r="F14" s="70"/>
      <c r="G14" s="68" t="s">
        <v>184</v>
      </c>
      <c r="H14" s="49"/>
      <c r="I14" s="50"/>
      <c r="J14" s="50"/>
      <c r="K14" s="51"/>
      <c r="L14" s="52">
        <v>14</v>
      </c>
      <c r="M1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 s="53"/>
      <c r="O14" s="75" t="s">
        <v>428</v>
      </c>
      <c r="P14" s="75" t="s">
        <v>428</v>
      </c>
      <c r="Q14" s="75">
        <v>1</v>
      </c>
      <c r="R14" s="86">
        <v>42644</v>
      </c>
      <c r="S14" s="86">
        <v>43191</v>
      </c>
      <c r="T14" s="75">
        <v>18</v>
      </c>
      <c r="U14" s="76" t="s">
        <v>429</v>
      </c>
      <c r="V14" s="145"/>
      <c r="W14" s="145"/>
    </row>
    <row r="15" spans="1:23" x14ac:dyDescent="0.3">
      <c r="A15" s="67" t="s">
        <v>196</v>
      </c>
      <c r="B15" s="67" t="s">
        <v>243</v>
      </c>
      <c r="C15" s="68"/>
      <c r="D15" s="69"/>
      <c r="E15" s="68"/>
      <c r="F15" s="70"/>
      <c r="G15" s="68" t="s">
        <v>184</v>
      </c>
      <c r="H15" s="49"/>
      <c r="I15" s="50"/>
      <c r="J15" s="50"/>
      <c r="K15" s="51"/>
      <c r="L15" s="52">
        <v>15</v>
      </c>
      <c r="M1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 s="53"/>
      <c r="O15" s="75" t="s">
        <v>501</v>
      </c>
      <c r="P15" s="75" t="s">
        <v>501</v>
      </c>
      <c r="Q15" s="75">
        <v>1</v>
      </c>
      <c r="R15" s="86">
        <v>42644</v>
      </c>
      <c r="S15" s="86">
        <f>EDATE(Edges[[#This Row],[Start
Time]],Edges[[#This Row],[Duración
(meses)]])</f>
        <v>43374</v>
      </c>
      <c r="T15" s="75">
        <v>24</v>
      </c>
      <c r="U15" s="76" t="s">
        <v>502</v>
      </c>
      <c r="V15" s="145"/>
      <c r="W15" s="145"/>
    </row>
    <row r="16" spans="1:23" x14ac:dyDescent="0.3">
      <c r="A16" s="67" t="s">
        <v>188</v>
      </c>
      <c r="B16" s="67" t="s">
        <v>227</v>
      </c>
      <c r="C16" s="68"/>
      <c r="D16" s="69"/>
      <c r="E16" s="68"/>
      <c r="F16" s="70"/>
      <c r="G16" s="68" t="s">
        <v>184</v>
      </c>
      <c r="H16" s="49"/>
      <c r="I16" s="50"/>
      <c r="J16" s="50"/>
      <c r="K16" s="51"/>
      <c r="L16" s="52">
        <v>16</v>
      </c>
      <c r="M1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 s="53"/>
      <c r="O16" s="75" t="s">
        <v>465</v>
      </c>
      <c r="P16" s="75" t="s">
        <v>465</v>
      </c>
      <c r="Q16" s="75">
        <v>1</v>
      </c>
      <c r="R16" s="86">
        <v>42644</v>
      </c>
      <c r="S16" s="86">
        <v>43040</v>
      </c>
      <c r="T16" s="75">
        <v>12</v>
      </c>
      <c r="U16" s="76" t="s">
        <v>466</v>
      </c>
      <c r="V16" s="145"/>
      <c r="W16" s="145"/>
    </row>
    <row r="17" spans="1:23" x14ac:dyDescent="0.3">
      <c r="A17" s="67" t="s">
        <v>188</v>
      </c>
      <c r="B17" s="67" t="s">
        <v>211</v>
      </c>
      <c r="C17" s="68"/>
      <c r="D17" s="69"/>
      <c r="E17" s="68"/>
      <c r="F17" s="70"/>
      <c r="G17" s="68" t="s">
        <v>184</v>
      </c>
      <c r="H17" s="49"/>
      <c r="I17" s="50"/>
      <c r="J17" s="50"/>
      <c r="K17" s="51"/>
      <c r="L17" s="52">
        <v>17</v>
      </c>
      <c r="M1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 s="53"/>
      <c r="O17" s="75" t="s">
        <v>440</v>
      </c>
      <c r="P17" s="75" t="s">
        <v>440</v>
      </c>
      <c r="Q17" s="75">
        <v>1</v>
      </c>
      <c r="R17" s="86">
        <v>42644</v>
      </c>
      <c r="S17" s="86">
        <v>43040</v>
      </c>
      <c r="T17" s="75">
        <v>12</v>
      </c>
      <c r="U17" s="76" t="s">
        <v>441</v>
      </c>
      <c r="V17" s="145"/>
      <c r="W17" s="145"/>
    </row>
    <row r="18" spans="1:23" x14ac:dyDescent="0.3">
      <c r="A18" s="67" t="s">
        <v>216</v>
      </c>
      <c r="B18" s="67" t="s">
        <v>245</v>
      </c>
      <c r="C18" s="68"/>
      <c r="D18" s="69"/>
      <c r="E18" s="68"/>
      <c r="F18" s="70"/>
      <c r="G18" s="68" t="s">
        <v>184</v>
      </c>
      <c r="H18" s="49"/>
      <c r="I18" s="50"/>
      <c r="J18" s="50"/>
      <c r="K18" s="51"/>
      <c r="L18" s="52">
        <v>18</v>
      </c>
      <c r="M1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 s="53"/>
      <c r="O18" s="75" t="s">
        <v>445</v>
      </c>
      <c r="P18" s="75" t="s">
        <v>515</v>
      </c>
      <c r="Q18" s="75">
        <v>1</v>
      </c>
      <c r="R18" s="86">
        <v>42644</v>
      </c>
      <c r="S18" s="86">
        <f>EDATE(Edges[[#This Row],[Start
Time]],Edges[[#This Row],[Duración
(meses)]])</f>
        <v>43374</v>
      </c>
      <c r="T18" s="75">
        <v>24</v>
      </c>
      <c r="U18" s="76" t="s">
        <v>446</v>
      </c>
      <c r="V18" s="145"/>
      <c r="W18" s="145"/>
    </row>
    <row r="19" spans="1:23" x14ac:dyDescent="0.3">
      <c r="A19" s="67" t="s">
        <v>216</v>
      </c>
      <c r="B19" s="67" t="s">
        <v>261</v>
      </c>
      <c r="C19" s="68"/>
      <c r="D19" s="69"/>
      <c r="E19" s="68"/>
      <c r="F19" s="70"/>
      <c r="G19" s="68" t="s">
        <v>184</v>
      </c>
      <c r="H19" s="49"/>
      <c r="I19" s="50"/>
      <c r="J19" s="50"/>
      <c r="K19" s="51"/>
      <c r="L19" s="52">
        <v>19</v>
      </c>
      <c r="M1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 s="53"/>
      <c r="O19" s="75" t="s">
        <v>445</v>
      </c>
      <c r="P19" s="75" t="s">
        <v>515</v>
      </c>
      <c r="Q19" s="75">
        <v>1</v>
      </c>
      <c r="R19" s="86">
        <v>42644</v>
      </c>
      <c r="S19" s="86">
        <f>EDATE(Edges[[#This Row],[Start
Time]],Edges[[#This Row],[Duración
(meses)]])</f>
        <v>43374</v>
      </c>
      <c r="T19" s="75">
        <v>24</v>
      </c>
      <c r="U19" s="76" t="s">
        <v>446</v>
      </c>
      <c r="V19" s="145"/>
      <c r="W19" s="145"/>
    </row>
    <row r="20" spans="1:23" x14ac:dyDescent="0.3">
      <c r="A20" s="67" t="s">
        <v>240</v>
      </c>
      <c r="B20" s="67" t="s">
        <v>263</v>
      </c>
      <c r="C20" s="68"/>
      <c r="D20" s="69"/>
      <c r="E20" s="68"/>
      <c r="F20" s="70"/>
      <c r="G20" s="68" t="s">
        <v>184</v>
      </c>
      <c r="H20" s="49"/>
      <c r="I20" s="50"/>
      <c r="J20" s="50"/>
      <c r="K20" s="51"/>
      <c r="L20" s="52">
        <v>20</v>
      </c>
      <c r="M2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 s="53"/>
      <c r="O20" s="75" t="s">
        <v>495</v>
      </c>
      <c r="P20" s="75" t="s">
        <v>519</v>
      </c>
      <c r="Q20" s="75">
        <v>1</v>
      </c>
      <c r="R20" s="86">
        <v>42644</v>
      </c>
      <c r="S20" s="86">
        <f>EDATE(Edges[[#This Row],[Start
Time]],Edges[[#This Row],[Duración
(meses)]])</f>
        <v>43374</v>
      </c>
      <c r="T20" s="75">
        <v>24</v>
      </c>
      <c r="U20" s="76" t="s">
        <v>496</v>
      </c>
      <c r="V20" s="145"/>
      <c r="W20" s="145"/>
    </row>
    <row r="21" spans="1:23" x14ac:dyDescent="0.3">
      <c r="A21" s="67" t="s">
        <v>243</v>
      </c>
      <c r="B21" s="67" t="s">
        <v>291</v>
      </c>
      <c r="C21" s="68"/>
      <c r="D21" s="69"/>
      <c r="E21" s="68"/>
      <c r="F21" s="70"/>
      <c r="G21" s="68" t="s">
        <v>184</v>
      </c>
      <c r="H21" s="49"/>
      <c r="I21" s="50"/>
      <c r="J21" s="50"/>
      <c r="K21" s="51"/>
      <c r="L21" s="52">
        <v>21</v>
      </c>
      <c r="M2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 s="53"/>
      <c r="O21" s="75" t="s">
        <v>501</v>
      </c>
      <c r="P21" s="75" t="s">
        <v>536</v>
      </c>
      <c r="Q21" s="75">
        <v>1</v>
      </c>
      <c r="R21" s="86">
        <v>42644</v>
      </c>
      <c r="S21" s="86">
        <f>EDATE(Edges[[#This Row],[Start
Time]],Edges[[#This Row],[Duración
(meses)]])</f>
        <v>43374</v>
      </c>
      <c r="T21" s="75">
        <v>24</v>
      </c>
      <c r="U21" s="76" t="s">
        <v>502</v>
      </c>
      <c r="V21" s="145"/>
      <c r="W21" s="145"/>
    </row>
    <row r="22" spans="1:23" x14ac:dyDescent="0.3">
      <c r="A22" s="67" t="s">
        <v>243</v>
      </c>
      <c r="B22" s="67" t="s">
        <v>292</v>
      </c>
      <c r="C22" s="68"/>
      <c r="D22" s="69"/>
      <c r="E22" s="68"/>
      <c r="F22" s="70"/>
      <c r="G22" s="68" t="s">
        <v>184</v>
      </c>
      <c r="H22" s="49"/>
      <c r="I22" s="50"/>
      <c r="J22" s="50"/>
      <c r="K22" s="51"/>
      <c r="L22" s="52">
        <v>22</v>
      </c>
      <c r="M2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 s="53"/>
      <c r="O22" s="75" t="s">
        <v>501</v>
      </c>
      <c r="P22" s="75" t="s">
        <v>536</v>
      </c>
      <c r="Q22" s="75">
        <v>1</v>
      </c>
      <c r="R22" s="86">
        <v>42644</v>
      </c>
      <c r="S22" s="86">
        <f>EDATE(Edges[[#This Row],[Start
Time]],Edges[[#This Row],[Duración
(meses)]])</f>
        <v>43374</v>
      </c>
      <c r="T22" s="75">
        <v>24</v>
      </c>
      <c r="U22" s="76" t="s">
        <v>502</v>
      </c>
      <c r="V22" s="145"/>
      <c r="W22" s="145"/>
    </row>
    <row r="23" spans="1:23" x14ac:dyDescent="0.3">
      <c r="A23" s="67" t="s">
        <v>243</v>
      </c>
      <c r="B23" s="67" t="s">
        <v>293</v>
      </c>
      <c r="C23" s="68"/>
      <c r="D23" s="69"/>
      <c r="E23" s="68"/>
      <c r="F23" s="70"/>
      <c r="G23" s="68" t="s">
        <v>184</v>
      </c>
      <c r="H23" s="49"/>
      <c r="I23" s="50"/>
      <c r="J23" s="50"/>
      <c r="K23" s="51"/>
      <c r="L23" s="52">
        <v>23</v>
      </c>
      <c r="M2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 s="53"/>
      <c r="O23" s="75" t="s">
        <v>501</v>
      </c>
      <c r="P23" s="75" t="s">
        <v>536</v>
      </c>
      <c r="Q23" s="75">
        <v>1</v>
      </c>
      <c r="R23" s="86">
        <v>42644</v>
      </c>
      <c r="S23" s="86">
        <f>EDATE(Edges[[#This Row],[Start
Time]],Edges[[#This Row],[Duración
(meses)]])</f>
        <v>43374</v>
      </c>
      <c r="T23" s="75">
        <v>24</v>
      </c>
      <c r="U23" s="76" t="s">
        <v>502</v>
      </c>
      <c r="V23" s="145"/>
      <c r="W23" s="145"/>
    </row>
    <row r="24" spans="1:23" x14ac:dyDescent="0.3">
      <c r="A24" s="67" t="s">
        <v>243</v>
      </c>
      <c r="B24" s="67" t="s">
        <v>294</v>
      </c>
      <c r="C24" s="68"/>
      <c r="D24" s="69"/>
      <c r="E24" s="68"/>
      <c r="F24" s="70"/>
      <c r="G24" s="68" t="s">
        <v>184</v>
      </c>
      <c r="H24" s="49"/>
      <c r="I24" s="50"/>
      <c r="J24" s="50"/>
      <c r="K24" s="51"/>
      <c r="L24" s="52">
        <v>24</v>
      </c>
      <c r="M2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 s="53"/>
      <c r="O24" s="75" t="s">
        <v>501</v>
      </c>
      <c r="P24" s="75" t="s">
        <v>536</v>
      </c>
      <c r="Q24" s="75">
        <v>1</v>
      </c>
      <c r="R24" s="86">
        <v>42644</v>
      </c>
      <c r="S24" s="86">
        <f>EDATE(Edges[[#This Row],[Start
Time]],Edges[[#This Row],[Duración
(meses)]])</f>
        <v>43374</v>
      </c>
      <c r="T24" s="75">
        <v>24</v>
      </c>
      <c r="U24" s="76" t="s">
        <v>502</v>
      </c>
      <c r="V24" s="145"/>
      <c r="W24" s="145"/>
    </row>
    <row r="25" spans="1:23" x14ac:dyDescent="0.3">
      <c r="A25" s="67" t="s">
        <v>243</v>
      </c>
      <c r="B25" s="67" t="s">
        <v>295</v>
      </c>
      <c r="C25" s="68"/>
      <c r="D25" s="69"/>
      <c r="E25" s="68"/>
      <c r="F25" s="70"/>
      <c r="G25" s="68" t="s">
        <v>184</v>
      </c>
      <c r="H25" s="49"/>
      <c r="I25" s="50"/>
      <c r="J25" s="50"/>
      <c r="K25" s="51"/>
      <c r="L25" s="52">
        <v>25</v>
      </c>
      <c r="M2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 s="53"/>
      <c r="O25" s="75" t="s">
        <v>501</v>
      </c>
      <c r="P25" s="75" t="s">
        <v>536</v>
      </c>
      <c r="Q25" s="75">
        <v>1</v>
      </c>
      <c r="R25" s="86">
        <v>42644</v>
      </c>
      <c r="S25" s="86">
        <f>EDATE(Edges[[#This Row],[Start
Time]],Edges[[#This Row],[Duración
(meses)]])</f>
        <v>43374</v>
      </c>
      <c r="T25" s="75">
        <v>24</v>
      </c>
      <c r="U25" s="76" t="s">
        <v>502</v>
      </c>
      <c r="V25" s="145"/>
      <c r="W25" s="145"/>
    </row>
    <row r="26" spans="1:23" x14ac:dyDescent="0.3">
      <c r="A26" s="67" t="s">
        <v>228</v>
      </c>
      <c r="B26" s="67" t="s">
        <v>334</v>
      </c>
      <c r="C26" s="68"/>
      <c r="D26" s="69"/>
      <c r="E26" s="68"/>
      <c r="F26" s="70"/>
      <c r="G26" s="68" t="s">
        <v>184</v>
      </c>
      <c r="H26" s="49"/>
      <c r="I26" s="50"/>
      <c r="J26" s="50"/>
      <c r="K26" s="51"/>
      <c r="L26" s="52">
        <v>26</v>
      </c>
      <c r="M2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 s="53"/>
      <c r="O26" s="75" t="s">
        <v>467</v>
      </c>
      <c r="P26" s="75" t="s">
        <v>551</v>
      </c>
      <c r="Q26" s="75">
        <v>1</v>
      </c>
      <c r="R26" s="86">
        <v>42646</v>
      </c>
      <c r="S26" s="86">
        <f>EDATE(Edges[[#This Row],[Start
Time]],Edges[[#This Row],[Duración
(meses)]])</f>
        <v>43376</v>
      </c>
      <c r="T26" s="143">
        <v>24</v>
      </c>
      <c r="U26" s="76" t="s">
        <v>468</v>
      </c>
      <c r="V26" s="145" t="str">
        <f>REPLACE(INDEX(GroupVertices[Group], MATCH(Edges[[#This Row],[Vertex 1]],GroupVertices[Vertex],0)),1,1,"")</f>
        <v>11</v>
      </c>
      <c r="W26" s="145" t="str">
        <f>REPLACE(INDEX(GroupVertices[Group], MATCH(Edges[[#This Row],[Vertex 2]],GroupVertices[Vertex],0)),1,1,"")</f>
        <v>11</v>
      </c>
    </row>
    <row r="27" spans="1:23" x14ac:dyDescent="0.3">
      <c r="A27" s="67" t="s">
        <v>228</v>
      </c>
      <c r="B27" s="67" t="s">
        <v>335</v>
      </c>
      <c r="C27" s="68"/>
      <c r="D27" s="69"/>
      <c r="E27" s="68"/>
      <c r="F27" s="70"/>
      <c r="G27" s="68" t="s">
        <v>184</v>
      </c>
      <c r="H27" s="49"/>
      <c r="I27" s="50"/>
      <c r="J27" s="50"/>
      <c r="K27" s="51"/>
      <c r="L27" s="52">
        <v>27</v>
      </c>
      <c r="M2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 s="53"/>
      <c r="O27" s="75" t="s">
        <v>467</v>
      </c>
      <c r="P27" s="75" t="s">
        <v>551</v>
      </c>
      <c r="Q27" s="75">
        <v>1</v>
      </c>
      <c r="R27" s="86">
        <v>42646</v>
      </c>
      <c r="S27" s="86">
        <f>EDATE(Edges[[#This Row],[Start
Time]],Edges[[#This Row],[Duración
(meses)]])</f>
        <v>43376</v>
      </c>
      <c r="T27" s="143">
        <v>24</v>
      </c>
      <c r="U27" s="76" t="s">
        <v>468</v>
      </c>
      <c r="V27" s="145"/>
      <c r="W27" s="145"/>
    </row>
    <row r="28" spans="1:23" x14ac:dyDescent="0.3">
      <c r="A28" s="67" t="s">
        <v>228</v>
      </c>
      <c r="B28" s="67" t="s">
        <v>336</v>
      </c>
      <c r="C28" s="68"/>
      <c r="D28" s="69"/>
      <c r="E28" s="68"/>
      <c r="F28" s="70"/>
      <c r="G28" s="68" t="s">
        <v>184</v>
      </c>
      <c r="H28" s="49"/>
      <c r="I28" s="50"/>
      <c r="J28" s="50"/>
      <c r="K28" s="51"/>
      <c r="L28" s="52">
        <v>28</v>
      </c>
      <c r="M2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 s="53"/>
      <c r="O28" s="75" t="s">
        <v>467</v>
      </c>
      <c r="P28" s="75" t="s">
        <v>551</v>
      </c>
      <c r="Q28" s="75">
        <v>1</v>
      </c>
      <c r="R28" s="86">
        <v>42646</v>
      </c>
      <c r="S28" s="86">
        <f>EDATE(Edges[[#This Row],[Start
Time]],Edges[[#This Row],[Duración
(meses)]])</f>
        <v>43376</v>
      </c>
      <c r="T28" s="143">
        <v>24</v>
      </c>
      <c r="U28" s="76" t="s">
        <v>468</v>
      </c>
      <c r="V28" s="145"/>
      <c r="W28" s="145"/>
    </row>
    <row r="29" spans="1:23" x14ac:dyDescent="0.3">
      <c r="A29" s="67" t="s">
        <v>228</v>
      </c>
      <c r="B29" s="67" t="s">
        <v>337</v>
      </c>
      <c r="C29" s="68"/>
      <c r="D29" s="69"/>
      <c r="E29" s="68"/>
      <c r="F29" s="70"/>
      <c r="G29" s="68" t="s">
        <v>184</v>
      </c>
      <c r="H29" s="49"/>
      <c r="I29" s="50"/>
      <c r="J29" s="50"/>
      <c r="K29" s="51"/>
      <c r="L29" s="52">
        <v>29</v>
      </c>
      <c r="M2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 s="53"/>
      <c r="O29" s="75" t="s">
        <v>487</v>
      </c>
      <c r="P29" s="75" t="s">
        <v>552</v>
      </c>
      <c r="Q29" s="75">
        <v>1</v>
      </c>
      <c r="R29" s="86">
        <v>42646</v>
      </c>
      <c r="S29" s="86">
        <f>EDATE(Edges[[#This Row],[Start
Time]],Edges[[#This Row],[Duración
(meses)]])</f>
        <v>43376</v>
      </c>
      <c r="T29" s="143">
        <v>24</v>
      </c>
      <c r="U29" s="76" t="s">
        <v>488</v>
      </c>
      <c r="V29" s="145"/>
      <c r="W29" s="145"/>
    </row>
    <row r="30" spans="1:23" x14ac:dyDescent="0.3">
      <c r="A30" s="67" t="s">
        <v>228</v>
      </c>
      <c r="B30" s="67" t="s">
        <v>338</v>
      </c>
      <c r="C30" s="68"/>
      <c r="D30" s="69"/>
      <c r="E30" s="68"/>
      <c r="F30" s="70"/>
      <c r="G30" s="68" t="s">
        <v>184</v>
      </c>
      <c r="H30" s="49"/>
      <c r="I30" s="50"/>
      <c r="J30" s="50"/>
      <c r="K30" s="51"/>
      <c r="L30" s="52">
        <v>30</v>
      </c>
      <c r="M3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 s="53"/>
      <c r="O30" s="75" t="s">
        <v>487</v>
      </c>
      <c r="P30" s="75" t="s">
        <v>552</v>
      </c>
      <c r="Q30" s="75">
        <v>1</v>
      </c>
      <c r="R30" s="86">
        <v>42646</v>
      </c>
      <c r="S30" s="86">
        <f>EDATE(Edges[[#This Row],[Start
Time]],Edges[[#This Row],[Duración
(meses)]])</f>
        <v>43376</v>
      </c>
      <c r="T30" s="143">
        <v>24</v>
      </c>
      <c r="U30" s="76" t="s">
        <v>488</v>
      </c>
      <c r="V30" s="145"/>
      <c r="W30" s="145"/>
    </row>
    <row r="31" spans="1:23" x14ac:dyDescent="0.3">
      <c r="A31" s="67" t="s">
        <v>228</v>
      </c>
      <c r="B31" s="67" t="s">
        <v>339</v>
      </c>
      <c r="C31" s="68"/>
      <c r="D31" s="69"/>
      <c r="E31" s="68"/>
      <c r="F31" s="70"/>
      <c r="G31" s="68" t="s">
        <v>184</v>
      </c>
      <c r="H31" s="49"/>
      <c r="I31" s="50"/>
      <c r="J31" s="50"/>
      <c r="K31" s="51"/>
      <c r="L31" s="52">
        <v>31</v>
      </c>
      <c r="M3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 s="53"/>
      <c r="O31" s="75" t="s">
        <v>487</v>
      </c>
      <c r="P31" s="75" t="s">
        <v>552</v>
      </c>
      <c r="Q31" s="75">
        <v>1</v>
      </c>
      <c r="R31" s="86">
        <v>42646</v>
      </c>
      <c r="S31" s="86">
        <f>EDATE(Edges[[#This Row],[Start
Time]],Edges[[#This Row],[Duración
(meses)]])</f>
        <v>43376</v>
      </c>
      <c r="T31" s="143">
        <v>24</v>
      </c>
      <c r="U31" s="76" t="s">
        <v>488</v>
      </c>
      <c r="V31" s="145"/>
      <c r="W31" s="145"/>
    </row>
    <row r="32" spans="1:23" x14ac:dyDescent="0.3">
      <c r="A32" s="67" t="s">
        <v>207</v>
      </c>
      <c r="B32" s="67" t="s">
        <v>341</v>
      </c>
      <c r="C32" s="68"/>
      <c r="D32" s="69"/>
      <c r="E32" s="68"/>
      <c r="F32" s="70"/>
      <c r="G32" s="68" t="s">
        <v>184</v>
      </c>
      <c r="H32" s="49"/>
      <c r="I32" s="50"/>
      <c r="J32" s="50"/>
      <c r="K32" s="51"/>
      <c r="L32" s="52">
        <v>32</v>
      </c>
      <c r="M3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 s="53"/>
      <c r="O32" s="75" t="s">
        <v>434</v>
      </c>
      <c r="P32" s="75" t="s">
        <v>554</v>
      </c>
      <c r="Q32" s="75">
        <v>1</v>
      </c>
      <c r="R32" s="86">
        <v>42646</v>
      </c>
      <c r="S32" s="86">
        <f>EDATE(Edges[[#This Row],[Start
Time]],Edges[[#This Row],[Duración
(meses)]])</f>
        <v>44107</v>
      </c>
      <c r="T32" s="75">
        <v>48</v>
      </c>
      <c r="U32" s="76" t="s">
        <v>435</v>
      </c>
      <c r="V32" s="145"/>
      <c r="W32" s="145"/>
    </row>
    <row r="33" spans="1:23" x14ac:dyDescent="0.3">
      <c r="A33" s="67" t="s">
        <v>207</v>
      </c>
      <c r="B33" s="67" t="s">
        <v>342</v>
      </c>
      <c r="C33" s="68"/>
      <c r="D33" s="69"/>
      <c r="E33" s="68"/>
      <c r="F33" s="70"/>
      <c r="G33" s="68" t="s">
        <v>184</v>
      </c>
      <c r="H33" s="49"/>
      <c r="I33" s="50"/>
      <c r="J33" s="50"/>
      <c r="K33" s="51"/>
      <c r="L33" s="52">
        <v>33</v>
      </c>
      <c r="M3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 s="53"/>
      <c r="O33" s="75" t="s">
        <v>434</v>
      </c>
      <c r="P33" s="75" t="s">
        <v>554</v>
      </c>
      <c r="Q33" s="75">
        <v>1</v>
      </c>
      <c r="R33" s="86">
        <v>42646</v>
      </c>
      <c r="S33" s="86">
        <f>EDATE(Edges[[#This Row],[Start
Time]],Edges[[#This Row],[Duración
(meses)]])</f>
        <v>44107</v>
      </c>
      <c r="T33" s="75">
        <v>48</v>
      </c>
      <c r="U33" s="76" t="s">
        <v>435</v>
      </c>
      <c r="V33" s="145"/>
      <c r="W33" s="145"/>
    </row>
    <row r="34" spans="1:23" x14ac:dyDescent="0.3">
      <c r="A34" s="67" t="s">
        <v>207</v>
      </c>
      <c r="B34" s="67" t="s">
        <v>343</v>
      </c>
      <c r="C34" s="68"/>
      <c r="D34" s="69"/>
      <c r="E34" s="68"/>
      <c r="F34" s="70"/>
      <c r="G34" s="68" t="s">
        <v>184</v>
      </c>
      <c r="H34" s="49"/>
      <c r="I34" s="50"/>
      <c r="J34" s="50"/>
      <c r="K34" s="51"/>
      <c r="L34" s="52">
        <v>34</v>
      </c>
      <c r="M3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 s="53"/>
      <c r="O34" s="75" t="s">
        <v>434</v>
      </c>
      <c r="P34" s="75" t="s">
        <v>554</v>
      </c>
      <c r="Q34" s="75">
        <v>1</v>
      </c>
      <c r="R34" s="86">
        <v>42646</v>
      </c>
      <c r="S34" s="86">
        <f>EDATE(Edges[[#This Row],[Start
Time]],Edges[[#This Row],[Duración
(meses)]])</f>
        <v>44107</v>
      </c>
      <c r="T34" s="75">
        <v>48</v>
      </c>
      <c r="U34" s="76" t="s">
        <v>435</v>
      </c>
      <c r="V34" s="145"/>
      <c r="W34" s="145"/>
    </row>
    <row r="35" spans="1:23" x14ac:dyDescent="0.3">
      <c r="A35" s="67" t="s">
        <v>218</v>
      </c>
      <c r="B35" s="67" t="s">
        <v>333</v>
      </c>
      <c r="C35" s="68"/>
      <c r="D35" s="69"/>
      <c r="E35" s="68"/>
      <c r="F35" s="70"/>
      <c r="G35" s="68" t="s">
        <v>184</v>
      </c>
      <c r="H35" s="49"/>
      <c r="I35" s="50"/>
      <c r="J35" s="50"/>
      <c r="K35" s="51"/>
      <c r="L35" s="52">
        <v>35</v>
      </c>
      <c r="M3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 s="53"/>
      <c r="O35" s="75" t="s">
        <v>449</v>
      </c>
      <c r="P35" s="75" t="s">
        <v>550</v>
      </c>
      <c r="Q35" s="75">
        <v>1</v>
      </c>
      <c r="R35" s="86">
        <v>42646</v>
      </c>
      <c r="S35" s="86">
        <f>EDATE(Edges[[#This Row],[Start
Time]],Edges[[#This Row],[Duración
(meses)]])</f>
        <v>43376</v>
      </c>
      <c r="T35" s="143">
        <v>24</v>
      </c>
      <c r="U35" s="76" t="s">
        <v>450</v>
      </c>
      <c r="V35" s="145"/>
      <c r="W35" s="145"/>
    </row>
    <row r="36" spans="1:23" x14ac:dyDescent="0.3">
      <c r="A36" s="67" t="s">
        <v>242</v>
      </c>
      <c r="B36" s="67" t="s">
        <v>332</v>
      </c>
      <c r="C36" s="68"/>
      <c r="D36" s="69"/>
      <c r="E36" s="68"/>
      <c r="F36" s="70"/>
      <c r="G36" s="68" t="s">
        <v>184</v>
      </c>
      <c r="H36" s="49"/>
      <c r="I36" s="50"/>
      <c r="J36" s="50"/>
      <c r="K36" s="51"/>
      <c r="L36" s="52">
        <v>36</v>
      </c>
      <c r="M3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 s="53"/>
      <c r="O36" s="75" t="s">
        <v>499</v>
      </c>
      <c r="P36" s="75" t="s">
        <v>548</v>
      </c>
      <c r="Q36" s="75">
        <v>1</v>
      </c>
      <c r="R36" s="86">
        <v>42646</v>
      </c>
      <c r="S36" s="86">
        <f>EDATE(Edges[[#This Row],[Start
Time]],Edges[[#This Row],[Duración
(meses)]])</f>
        <v>43376</v>
      </c>
      <c r="T36" s="143">
        <v>24</v>
      </c>
      <c r="U36" s="76" t="s">
        <v>500</v>
      </c>
      <c r="V36" s="145"/>
      <c r="W36" s="145"/>
    </row>
    <row r="37" spans="1:23" x14ac:dyDescent="0.3">
      <c r="A37" s="67" t="s">
        <v>365</v>
      </c>
      <c r="B37" s="67" t="s">
        <v>348</v>
      </c>
      <c r="C37" s="68" t="s">
        <v>347</v>
      </c>
      <c r="D37" s="69"/>
      <c r="E37" s="68" t="s">
        <v>133</v>
      </c>
      <c r="F37" s="70"/>
      <c r="G37" s="68" t="s">
        <v>184</v>
      </c>
      <c r="H37" s="49"/>
      <c r="I37" s="50"/>
      <c r="J37" s="50"/>
      <c r="K37" s="51"/>
      <c r="L37" s="52">
        <v>37</v>
      </c>
      <c r="M3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 s="53"/>
      <c r="O37" s="75"/>
      <c r="P37" s="75" t="s">
        <v>559</v>
      </c>
      <c r="Q37" s="75"/>
      <c r="R37" s="86">
        <v>42683</v>
      </c>
      <c r="S37" s="86"/>
      <c r="T37" s="75"/>
      <c r="U37" s="76"/>
      <c r="V37" s="145"/>
      <c r="W37" s="145"/>
    </row>
    <row r="38" spans="1:23" x14ac:dyDescent="0.3">
      <c r="A38" s="67" t="s">
        <v>365</v>
      </c>
      <c r="B38" s="67" t="s">
        <v>345</v>
      </c>
      <c r="C38" s="68" t="s">
        <v>347</v>
      </c>
      <c r="D38" s="69"/>
      <c r="E38" s="68" t="s">
        <v>133</v>
      </c>
      <c r="F38" s="70"/>
      <c r="G38" s="68" t="s">
        <v>184</v>
      </c>
      <c r="H38" s="49"/>
      <c r="I38" s="50"/>
      <c r="J38" s="50"/>
      <c r="K38" s="51"/>
      <c r="L38" s="52">
        <v>38</v>
      </c>
      <c r="M3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 s="53"/>
      <c r="O38" s="75"/>
      <c r="P38" s="75" t="s">
        <v>559</v>
      </c>
      <c r="Q38" s="75"/>
      <c r="R38" s="86">
        <v>42683</v>
      </c>
      <c r="S38" s="86"/>
      <c r="T38" s="75"/>
      <c r="U38" s="76"/>
      <c r="V38" s="145"/>
      <c r="W38" s="145"/>
    </row>
    <row r="39" spans="1:23" x14ac:dyDescent="0.3">
      <c r="A39" s="67" t="s">
        <v>365</v>
      </c>
      <c r="B39" s="67" t="s">
        <v>366</v>
      </c>
      <c r="C39" s="68" t="s">
        <v>347</v>
      </c>
      <c r="D39" s="69"/>
      <c r="E39" s="68" t="s">
        <v>133</v>
      </c>
      <c r="F39" s="70"/>
      <c r="G39" s="68" t="s">
        <v>184</v>
      </c>
      <c r="H39" s="49"/>
      <c r="I39" s="50"/>
      <c r="J39" s="50"/>
      <c r="K39" s="51"/>
      <c r="L39" s="52">
        <v>39</v>
      </c>
      <c r="M3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 s="53"/>
      <c r="O39" s="75"/>
      <c r="P39" s="75" t="s">
        <v>559</v>
      </c>
      <c r="Q39" s="75"/>
      <c r="R39" s="86">
        <v>42683</v>
      </c>
      <c r="S39" s="86"/>
      <c r="T39" s="75"/>
      <c r="U39" s="76"/>
      <c r="V39" s="145"/>
      <c r="W39" s="145"/>
    </row>
    <row r="40" spans="1:23" x14ac:dyDescent="0.3">
      <c r="A40" s="67" t="s">
        <v>365</v>
      </c>
      <c r="B40" s="67" t="s">
        <v>204</v>
      </c>
      <c r="C40" s="68" t="s">
        <v>347</v>
      </c>
      <c r="D40" s="69"/>
      <c r="E40" s="68" t="s">
        <v>133</v>
      </c>
      <c r="F40" s="70"/>
      <c r="G40" s="68" t="s">
        <v>184</v>
      </c>
      <c r="H40" s="49"/>
      <c r="I40" s="50"/>
      <c r="J40" s="50"/>
      <c r="K40" s="51"/>
      <c r="L40" s="52">
        <v>40</v>
      </c>
      <c r="M4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 s="53"/>
      <c r="O40" s="75"/>
      <c r="P40" s="75" t="s">
        <v>559</v>
      </c>
      <c r="Q40" s="75"/>
      <c r="R40" s="86">
        <v>42683</v>
      </c>
      <c r="S40" s="86"/>
      <c r="T40" s="75"/>
      <c r="U40" s="76"/>
      <c r="V40" s="145"/>
      <c r="W40" s="145"/>
    </row>
    <row r="41" spans="1:23" x14ac:dyDescent="0.3">
      <c r="A41" s="67" t="s">
        <v>365</v>
      </c>
      <c r="B41" s="67" t="s">
        <v>213</v>
      </c>
      <c r="C41" s="79" t="s">
        <v>347</v>
      </c>
      <c r="D41" s="80"/>
      <c r="E41" s="79" t="s">
        <v>133</v>
      </c>
      <c r="F41" s="81"/>
      <c r="G41" s="79" t="s">
        <v>184</v>
      </c>
      <c r="H41" s="82"/>
      <c r="I41" s="83"/>
      <c r="J41" s="83"/>
      <c r="K41" s="84"/>
      <c r="L41" s="85">
        <v>41</v>
      </c>
      <c r="M41" s="8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 s="53"/>
      <c r="O41" s="75"/>
      <c r="P41" s="75" t="s">
        <v>559</v>
      </c>
      <c r="Q41" s="75"/>
      <c r="R41" s="86">
        <v>42683</v>
      </c>
      <c r="S41" s="86"/>
      <c r="T41" s="75"/>
      <c r="U41" s="76"/>
      <c r="V41" s="145"/>
      <c r="W41" s="145"/>
    </row>
    <row r="42" spans="1:23" x14ac:dyDescent="0.3">
      <c r="A42" s="67" t="s">
        <v>357</v>
      </c>
      <c r="B42" s="67" t="s">
        <v>316</v>
      </c>
      <c r="C42" s="68" t="s">
        <v>347</v>
      </c>
      <c r="D42" s="69"/>
      <c r="E42" s="68" t="s">
        <v>133</v>
      </c>
      <c r="F42" s="70"/>
      <c r="G42" s="68" t="s">
        <v>184</v>
      </c>
      <c r="H42" s="49"/>
      <c r="I42" s="50"/>
      <c r="J42" s="50"/>
      <c r="K42" s="51"/>
      <c r="L42" s="52">
        <v>42</v>
      </c>
      <c r="M4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2" s="53"/>
      <c r="O42" s="75"/>
      <c r="P42" s="75" t="s">
        <v>558</v>
      </c>
      <c r="Q42" s="75"/>
      <c r="R42" s="86">
        <v>42683</v>
      </c>
      <c r="S42" s="86"/>
      <c r="T42" s="75"/>
      <c r="U42" s="76"/>
      <c r="V42" s="145"/>
      <c r="W42" s="145"/>
    </row>
    <row r="43" spans="1:23" x14ac:dyDescent="0.3">
      <c r="A43" s="67" t="s">
        <v>357</v>
      </c>
      <c r="B43" s="67" t="s">
        <v>213</v>
      </c>
      <c r="C43" s="79" t="s">
        <v>347</v>
      </c>
      <c r="D43" s="80"/>
      <c r="E43" s="79" t="s">
        <v>133</v>
      </c>
      <c r="F43" s="81"/>
      <c r="G43" s="79" t="s">
        <v>184</v>
      </c>
      <c r="H43" s="82"/>
      <c r="I43" s="83"/>
      <c r="J43" s="83"/>
      <c r="K43" s="84"/>
      <c r="L43" s="85">
        <v>43</v>
      </c>
      <c r="M43" s="8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3" s="53"/>
      <c r="O43" s="75"/>
      <c r="P43" s="75" t="s">
        <v>558</v>
      </c>
      <c r="Q43" s="75"/>
      <c r="R43" s="86">
        <v>42683</v>
      </c>
      <c r="S43" s="86"/>
      <c r="T43" s="75"/>
      <c r="U43" s="76"/>
      <c r="V43" s="145"/>
      <c r="W43" s="145"/>
    </row>
    <row r="44" spans="1:23" x14ac:dyDescent="0.3">
      <c r="A44" s="67" t="s">
        <v>352</v>
      </c>
      <c r="B44" s="67" t="s">
        <v>316</v>
      </c>
      <c r="C44" s="68" t="s">
        <v>347</v>
      </c>
      <c r="D44" s="69"/>
      <c r="E44" s="68" t="s">
        <v>133</v>
      </c>
      <c r="F44" s="70"/>
      <c r="G44" s="68" t="s">
        <v>184</v>
      </c>
      <c r="H44" s="49"/>
      <c r="I44" s="50"/>
      <c r="J44" s="50"/>
      <c r="K44" s="51"/>
      <c r="L44" s="52">
        <v>44</v>
      </c>
      <c r="M4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4" s="53"/>
      <c r="O44" s="75"/>
      <c r="P44" s="75" t="s">
        <v>557</v>
      </c>
      <c r="Q44" s="75"/>
      <c r="R44" s="86">
        <v>42683</v>
      </c>
      <c r="S44" s="86"/>
      <c r="T44" s="75"/>
      <c r="U44" s="76"/>
      <c r="V44" s="145"/>
      <c r="W44" s="145"/>
    </row>
    <row r="45" spans="1:23" x14ac:dyDescent="0.3">
      <c r="A45" s="67" t="s">
        <v>352</v>
      </c>
      <c r="B45" s="67" t="s">
        <v>350</v>
      </c>
      <c r="C45" s="68" t="s">
        <v>347</v>
      </c>
      <c r="D45" s="69"/>
      <c r="E45" s="68" t="s">
        <v>133</v>
      </c>
      <c r="F45" s="70"/>
      <c r="G45" s="68" t="s">
        <v>184</v>
      </c>
      <c r="H45" s="49"/>
      <c r="I45" s="50"/>
      <c r="J45" s="50"/>
      <c r="K45" s="51"/>
      <c r="L45" s="52">
        <v>45</v>
      </c>
      <c r="M4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5" s="53"/>
      <c r="O45" s="75"/>
      <c r="P45" s="75" t="s">
        <v>557</v>
      </c>
      <c r="Q45" s="75"/>
      <c r="R45" s="86">
        <v>42683</v>
      </c>
      <c r="S45" s="86"/>
      <c r="T45" s="75"/>
      <c r="U45" s="76"/>
      <c r="V45" s="145"/>
      <c r="W45" s="145"/>
    </row>
    <row r="46" spans="1:23" x14ac:dyDescent="0.3">
      <c r="A46" s="67" t="s">
        <v>352</v>
      </c>
      <c r="B46" s="67" t="s">
        <v>204</v>
      </c>
      <c r="C46" s="68" t="s">
        <v>347</v>
      </c>
      <c r="D46" s="69"/>
      <c r="E46" s="68" t="s">
        <v>133</v>
      </c>
      <c r="F46" s="70"/>
      <c r="G46" s="68" t="s">
        <v>184</v>
      </c>
      <c r="H46" s="49"/>
      <c r="I46" s="50"/>
      <c r="J46" s="50"/>
      <c r="K46" s="51"/>
      <c r="L46" s="52">
        <v>46</v>
      </c>
      <c r="M4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6" s="53"/>
      <c r="O46" s="75"/>
      <c r="P46" s="75" t="s">
        <v>557</v>
      </c>
      <c r="Q46" s="75"/>
      <c r="R46" s="86">
        <v>42683</v>
      </c>
      <c r="S46" s="86"/>
      <c r="T46" s="75"/>
      <c r="U46" s="76"/>
      <c r="V46" s="145"/>
      <c r="W46" s="145"/>
    </row>
    <row r="47" spans="1:23" x14ac:dyDescent="0.3">
      <c r="A47" s="67" t="s">
        <v>352</v>
      </c>
      <c r="B47" s="67" t="s">
        <v>349</v>
      </c>
      <c r="C47" s="68" t="s">
        <v>347</v>
      </c>
      <c r="D47" s="69"/>
      <c r="E47" s="68" t="s">
        <v>133</v>
      </c>
      <c r="F47" s="70"/>
      <c r="G47" s="68" t="s">
        <v>184</v>
      </c>
      <c r="H47" s="49"/>
      <c r="I47" s="50"/>
      <c r="J47" s="50"/>
      <c r="K47" s="51"/>
      <c r="L47" s="52">
        <v>47</v>
      </c>
      <c r="M4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7" s="53"/>
      <c r="O47" s="75"/>
      <c r="P47" s="75" t="s">
        <v>557</v>
      </c>
      <c r="Q47" s="75"/>
      <c r="R47" s="86">
        <v>42683</v>
      </c>
      <c r="S47" s="86"/>
      <c r="T47" s="75"/>
      <c r="U47" s="76"/>
      <c r="V47" s="145"/>
      <c r="W47" s="145"/>
    </row>
    <row r="48" spans="1:23" x14ac:dyDescent="0.3">
      <c r="A48" s="67" t="s">
        <v>352</v>
      </c>
      <c r="B48" s="67" t="s">
        <v>353</v>
      </c>
      <c r="C48" s="68" t="s">
        <v>347</v>
      </c>
      <c r="D48" s="69"/>
      <c r="E48" s="68" t="s">
        <v>133</v>
      </c>
      <c r="F48" s="70"/>
      <c r="G48" s="68" t="s">
        <v>184</v>
      </c>
      <c r="H48" s="49"/>
      <c r="I48" s="50"/>
      <c r="J48" s="50"/>
      <c r="K48" s="51"/>
      <c r="L48" s="52">
        <v>48</v>
      </c>
      <c r="M4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8" s="53"/>
      <c r="O48" s="75"/>
      <c r="P48" s="75" t="s">
        <v>557</v>
      </c>
      <c r="Q48" s="75"/>
      <c r="R48" s="86">
        <v>42683</v>
      </c>
      <c r="S48" s="86"/>
      <c r="T48" s="75"/>
      <c r="U48" s="76"/>
      <c r="V48" s="145"/>
      <c r="W48" s="145"/>
    </row>
    <row r="49" spans="1:23" x14ac:dyDescent="0.3">
      <c r="A49" s="67" t="s">
        <v>352</v>
      </c>
      <c r="B49" s="67" t="s">
        <v>250</v>
      </c>
      <c r="C49" s="68" t="s">
        <v>347</v>
      </c>
      <c r="D49" s="69"/>
      <c r="E49" s="68" t="s">
        <v>133</v>
      </c>
      <c r="F49" s="70"/>
      <c r="G49" s="68" t="s">
        <v>184</v>
      </c>
      <c r="H49" s="49"/>
      <c r="I49" s="50"/>
      <c r="J49" s="50"/>
      <c r="K49" s="51"/>
      <c r="L49" s="52">
        <v>49</v>
      </c>
      <c r="M4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9" s="53"/>
      <c r="O49" s="75"/>
      <c r="P49" s="75" t="s">
        <v>557</v>
      </c>
      <c r="Q49" s="75"/>
      <c r="R49" s="86">
        <v>42683</v>
      </c>
      <c r="S49" s="86"/>
      <c r="T49" s="75"/>
      <c r="U49" s="76"/>
      <c r="V49" s="145"/>
      <c r="W49" s="145"/>
    </row>
    <row r="50" spans="1:23" x14ac:dyDescent="0.3">
      <c r="A50" s="67" t="s">
        <v>352</v>
      </c>
      <c r="B50" s="67" t="s">
        <v>186</v>
      </c>
      <c r="C50" s="68" t="s">
        <v>347</v>
      </c>
      <c r="D50" s="69"/>
      <c r="E50" s="68" t="s">
        <v>133</v>
      </c>
      <c r="F50" s="70"/>
      <c r="G50" s="68" t="s">
        <v>184</v>
      </c>
      <c r="H50" s="49"/>
      <c r="I50" s="50"/>
      <c r="J50" s="50"/>
      <c r="K50" s="51"/>
      <c r="L50" s="52">
        <v>50</v>
      </c>
      <c r="M5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0" s="53"/>
      <c r="O50" s="75"/>
      <c r="P50" s="75" t="s">
        <v>557</v>
      </c>
      <c r="Q50" s="75"/>
      <c r="R50" s="86">
        <v>42683</v>
      </c>
      <c r="S50" s="86"/>
      <c r="T50" s="75"/>
      <c r="U50" s="76"/>
      <c r="V50" s="145"/>
      <c r="W50" s="145"/>
    </row>
    <row r="51" spans="1:23" x14ac:dyDescent="0.3">
      <c r="A51" s="67" t="s">
        <v>352</v>
      </c>
      <c r="B51" s="67" t="s">
        <v>354</v>
      </c>
      <c r="C51" s="68" t="s">
        <v>347</v>
      </c>
      <c r="D51" s="69"/>
      <c r="E51" s="68" t="s">
        <v>133</v>
      </c>
      <c r="F51" s="70"/>
      <c r="G51" s="68" t="s">
        <v>184</v>
      </c>
      <c r="H51" s="49"/>
      <c r="I51" s="50"/>
      <c r="J51" s="50"/>
      <c r="K51" s="51"/>
      <c r="L51" s="52">
        <v>51</v>
      </c>
      <c r="M5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1" s="53"/>
      <c r="O51" s="75"/>
      <c r="P51" s="75" t="s">
        <v>557</v>
      </c>
      <c r="Q51" s="75"/>
      <c r="R51" s="86">
        <v>42683</v>
      </c>
      <c r="S51" s="86"/>
      <c r="T51" s="75"/>
      <c r="U51" s="76"/>
      <c r="V51" s="145"/>
      <c r="W51" s="145"/>
    </row>
    <row r="52" spans="1:23" x14ac:dyDescent="0.3">
      <c r="A52" s="67" t="s">
        <v>352</v>
      </c>
      <c r="B52" s="67" t="s">
        <v>245</v>
      </c>
      <c r="C52" s="68" t="s">
        <v>347</v>
      </c>
      <c r="D52" s="69"/>
      <c r="E52" s="68" t="s">
        <v>133</v>
      </c>
      <c r="F52" s="70"/>
      <c r="G52" s="68" t="s">
        <v>184</v>
      </c>
      <c r="H52" s="49"/>
      <c r="I52" s="50"/>
      <c r="J52" s="50"/>
      <c r="K52" s="51"/>
      <c r="L52" s="52">
        <v>52</v>
      </c>
      <c r="M5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2" s="53"/>
      <c r="O52" s="75"/>
      <c r="P52" s="75" t="s">
        <v>557</v>
      </c>
      <c r="Q52" s="75"/>
      <c r="R52" s="86">
        <v>42683</v>
      </c>
      <c r="S52" s="86"/>
      <c r="T52" s="75"/>
      <c r="U52" s="76"/>
      <c r="V52" s="145"/>
      <c r="W52" s="145"/>
    </row>
    <row r="53" spans="1:23" x14ac:dyDescent="0.3">
      <c r="A53" s="67" t="s">
        <v>352</v>
      </c>
      <c r="B53" s="67" t="s">
        <v>355</v>
      </c>
      <c r="C53" s="68" t="s">
        <v>347</v>
      </c>
      <c r="D53" s="69"/>
      <c r="E53" s="68" t="s">
        <v>133</v>
      </c>
      <c r="F53" s="70"/>
      <c r="G53" s="68" t="s">
        <v>184</v>
      </c>
      <c r="H53" s="49"/>
      <c r="I53" s="50"/>
      <c r="J53" s="50"/>
      <c r="K53" s="51"/>
      <c r="L53" s="52">
        <v>53</v>
      </c>
      <c r="M5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3" s="53"/>
      <c r="O53" s="75"/>
      <c r="P53" s="75" t="s">
        <v>557</v>
      </c>
      <c r="Q53" s="75"/>
      <c r="R53" s="86">
        <v>42683</v>
      </c>
      <c r="S53" s="86"/>
      <c r="T53" s="75"/>
      <c r="U53" s="76"/>
      <c r="V53" s="145"/>
      <c r="W53" s="145"/>
    </row>
    <row r="54" spans="1:23" x14ac:dyDescent="0.3">
      <c r="A54" s="67" t="s">
        <v>352</v>
      </c>
      <c r="B54" s="67" t="s">
        <v>356</v>
      </c>
      <c r="C54" s="68" t="s">
        <v>347</v>
      </c>
      <c r="D54" s="69"/>
      <c r="E54" s="68" t="s">
        <v>133</v>
      </c>
      <c r="F54" s="70"/>
      <c r="G54" s="68" t="s">
        <v>184</v>
      </c>
      <c r="H54" s="49"/>
      <c r="I54" s="50"/>
      <c r="J54" s="50"/>
      <c r="K54" s="51"/>
      <c r="L54" s="52">
        <v>54</v>
      </c>
      <c r="M5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4" s="53"/>
      <c r="O54" s="75"/>
      <c r="P54" s="75" t="s">
        <v>557</v>
      </c>
      <c r="Q54" s="75"/>
      <c r="R54" s="86">
        <v>42683</v>
      </c>
      <c r="S54" s="86"/>
      <c r="T54" s="75"/>
      <c r="U54" s="76"/>
      <c r="V54" s="145"/>
      <c r="W54" s="145"/>
    </row>
    <row r="55" spans="1:23" x14ac:dyDescent="0.3">
      <c r="A55" s="67" t="s">
        <v>346</v>
      </c>
      <c r="B55" s="67" t="s">
        <v>349</v>
      </c>
      <c r="C55" s="68" t="s">
        <v>347</v>
      </c>
      <c r="D55" s="69"/>
      <c r="E55" s="68" t="s">
        <v>133</v>
      </c>
      <c r="F55" s="70"/>
      <c r="G55" s="68" t="s">
        <v>184</v>
      </c>
      <c r="H55" s="49"/>
      <c r="I55" s="50"/>
      <c r="J55" s="50"/>
      <c r="K55" s="51"/>
      <c r="L55" s="52">
        <v>55</v>
      </c>
      <c r="M5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5" s="53"/>
      <c r="O55" s="75"/>
      <c r="P55" s="75" t="s">
        <v>556</v>
      </c>
      <c r="Q55" s="75"/>
      <c r="R55" s="86">
        <v>42683</v>
      </c>
      <c r="S55" s="86"/>
      <c r="T55" s="75"/>
      <c r="U55" s="76"/>
      <c r="V55" s="145"/>
      <c r="W55" s="145"/>
    </row>
    <row r="56" spans="1:23" x14ac:dyDescent="0.3">
      <c r="A56" s="67" t="s">
        <v>373</v>
      </c>
      <c r="B56" s="67" t="s">
        <v>352</v>
      </c>
      <c r="C56" s="68" t="s">
        <v>347</v>
      </c>
      <c r="D56" s="69"/>
      <c r="E56" s="68" t="s">
        <v>133</v>
      </c>
      <c r="F56" s="70"/>
      <c r="G56" s="68" t="s">
        <v>184</v>
      </c>
      <c r="H56" s="49"/>
      <c r="I56" s="50"/>
      <c r="J56" s="50"/>
      <c r="K56" s="51"/>
      <c r="L56" s="52">
        <v>56</v>
      </c>
      <c r="M5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6" s="53"/>
      <c r="O56" s="75"/>
      <c r="P56" s="75"/>
      <c r="Q56" s="75"/>
      <c r="R56" s="86">
        <v>42683</v>
      </c>
      <c r="S56" s="86"/>
      <c r="T56" s="75"/>
      <c r="U56" s="76"/>
      <c r="V56" s="145"/>
      <c r="W56" s="145"/>
    </row>
    <row r="57" spans="1:23" x14ac:dyDescent="0.3">
      <c r="A57" s="67" t="s">
        <v>373</v>
      </c>
      <c r="B57" s="67" t="s">
        <v>365</v>
      </c>
      <c r="C57" s="68" t="s">
        <v>347</v>
      </c>
      <c r="D57" s="69"/>
      <c r="E57" s="68" t="s">
        <v>133</v>
      </c>
      <c r="F57" s="70"/>
      <c r="G57" s="68" t="s">
        <v>184</v>
      </c>
      <c r="H57" s="49"/>
      <c r="I57" s="50"/>
      <c r="J57" s="50"/>
      <c r="K57" s="51"/>
      <c r="L57" s="52">
        <v>57</v>
      </c>
      <c r="M5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7" s="53"/>
      <c r="O57" s="75"/>
      <c r="P57" s="75"/>
      <c r="Q57" s="75"/>
      <c r="R57" s="86">
        <v>42683</v>
      </c>
      <c r="S57" s="86"/>
      <c r="T57" s="75"/>
      <c r="U57" s="76"/>
      <c r="V57" s="145"/>
      <c r="W57" s="145"/>
    </row>
    <row r="58" spans="1:23" x14ac:dyDescent="0.3">
      <c r="A58" s="67" t="s">
        <v>291</v>
      </c>
      <c r="B58" s="67" t="s">
        <v>394</v>
      </c>
      <c r="C58" s="68"/>
      <c r="D58" s="69"/>
      <c r="E58" s="68"/>
      <c r="F58" s="70"/>
      <c r="G58" s="68" t="s">
        <v>184</v>
      </c>
      <c r="H58" s="49"/>
      <c r="I58" s="50"/>
      <c r="J58" s="50"/>
      <c r="K58" s="51"/>
      <c r="L58" s="52">
        <v>58</v>
      </c>
      <c r="M5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8" s="53"/>
      <c r="O58" s="75"/>
      <c r="P58" s="75"/>
      <c r="Q58" s="75"/>
      <c r="R58" s="86">
        <v>42682</v>
      </c>
      <c r="S58" s="86"/>
      <c r="T58" s="75"/>
      <c r="U58" s="76"/>
      <c r="V58" s="145"/>
      <c r="W58" s="145"/>
    </row>
    <row r="59" spans="1:23" x14ac:dyDescent="0.3">
      <c r="A59" s="67" t="s">
        <v>183</v>
      </c>
      <c r="B59" s="67" t="s">
        <v>233</v>
      </c>
      <c r="C59" s="68"/>
      <c r="D59" s="69"/>
      <c r="E59" s="68"/>
      <c r="F59" s="70"/>
      <c r="G59" s="68" t="s">
        <v>184</v>
      </c>
      <c r="H59" s="49"/>
      <c r="I59" s="50"/>
      <c r="J59" s="50"/>
      <c r="K59" s="51"/>
      <c r="L59" s="52">
        <v>59</v>
      </c>
      <c r="M5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59" s="53"/>
      <c r="O59" s="75" t="s">
        <v>477</v>
      </c>
      <c r="P59" s="75" t="s">
        <v>478</v>
      </c>
      <c r="Q59" s="75">
        <v>1</v>
      </c>
      <c r="R59" s="86">
        <v>42646</v>
      </c>
      <c r="S59" s="86">
        <f>EDATE(Edges[[#This Row],[Start
Time]],Edges[[#This Row],[Duración
(meses)]])</f>
        <v>43376</v>
      </c>
      <c r="T59" s="143">
        <v>24</v>
      </c>
      <c r="U59" s="76" t="s">
        <v>479</v>
      </c>
      <c r="V59" s="145"/>
      <c r="W59" s="145"/>
    </row>
    <row r="60" spans="1:23" x14ac:dyDescent="0.3">
      <c r="A60" s="67" t="s">
        <v>183</v>
      </c>
      <c r="B60" s="67" t="s">
        <v>200</v>
      </c>
      <c r="C60" s="68"/>
      <c r="D60" s="69"/>
      <c r="E60" s="68"/>
      <c r="F60" s="70"/>
      <c r="G60" s="68" t="s">
        <v>184</v>
      </c>
      <c r="H60" s="49"/>
      <c r="I60" s="50"/>
      <c r="J60" s="50"/>
      <c r="K60" s="51"/>
      <c r="L60" s="52">
        <v>60</v>
      </c>
      <c r="M6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0" s="53"/>
      <c r="O60" s="75" t="s">
        <v>477</v>
      </c>
      <c r="P60" s="75" t="s">
        <v>478</v>
      </c>
      <c r="Q60" s="75">
        <v>1</v>
      </c>
      <c r="R60" s="86">
        <v>42646</v>
      </c>
      <c r="S60" s="86">
        <f>EDATE(Edges[[#This Row],[Start
Time]],Edges[[#This Row],[Duración
(meses)]])</f>
        <v>43376</v>
      </c>
      <c r="T60" s="143">
        <v>24</v>
      </c>
      <c r="U60" s="76" t="s">
        <v>486</v>
      </c>
      <c r="V60" s="145"/>
      <c r="W60" s="145"/>
    </row>
    <row r="61" spans="1:23" x14ac:dyDescent="0.3">
      <c r="A61" s="67" t="s">
        <v>208</v>
      </c>
      <c r="B61" s="67" t="s">
        <v>259</v>
      </c>
      <c r="C61" s="68"/>
      <c r="D61" s="69"/>
      <c r="E61" s="68"/>
      <c r="F61" s="70"/>
      <c r="G61" s="68" t="s">
        <v>184</v>
      </c>
      <c r="H61" s="49"/>
      <c r="I61" s="50"/>
      <c r="J61" s="50"/>
      <c r="K61" s="51"/>
      <c r="L61" s="52">
        <v>61</v>
      </c>
      <c r="M6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1" s="53"/>
      <c r="O61" s="75" t="s">
        <v>436</v>
      </c>
      <c r="P61" s="75" t="s">
        <v>549</v>
      </c>
      <c r="Q61" s="75">
        <v>1</v>
      </c>
      <c r="R61" s="86">
        <v>42646</v>
      </c>
      <c r="S61" s="86">
        <f>EDATE(Edges[[#This Row],[Start
Time]],Edges[[#This Row],[Duración
(meses)]])</f>
        <v>44107</v>
      </c>
      <c r="T61" s="75">
        <v>48</v>
      </c>
      <c r="U61" s="76" t="s">
        <v>437</v>
      </c>
      <c r="V61" s="145"/>
      <c r="W61" s="145"/>
    </row>
    <row r="62" spans="1:23" x14ac:dyDescent="0.3">
      <c r="A62" s="67" t="s">
        <v>230</v>
      </c>
      <c r="B62" s="67" t="s">
        <v>329</v>
      </c>
      <c r="C62" s="68"/>
      <c r="D62" s="69"/>
      <c r="E62" s="68"/>
      <c r="F62" s="70"/>
      <c r="G62" s="68" t="s">
        <v>184</v>
      </c>
      <c r="H62" s="49"/>
      <c r="I62" s="50"/>
      <c r="J62" s="50"/>
      <c r="K62" s="51"/>
      <c r="L62" s="52">
        <v>62</v>
      </c>
      <c r="M6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2" s="53"/>
      <c r="O62" s="75" t="s">
        <v>471</v>
      </c>
      <c r="P62" s="75" t="s">
        <v>545</v>
      </c>
      <c r="Q62" s="75">
        <v>1</v>
      </c>
      <c r="R62" s="86">
        <v>42646</v>
      </c>
      <c r="S62" s="86">
        <f>EDATE(Edges[[#This Row],[Start
Time]],Edges[[#This Row],[Duración
(meses)]])</f>
        <v>43741</v>
      </c>
      <c r="T62" s="75">
        <v>36</v>
      </c>
      <c r="U62" s="76" t="s">
        <v>472</v>
      </c>
      <c r="V62" s="145"/>
      <c r="W62" s="145"/>
    </row>
    <row r="63" spans="1:23" x14ac:dyDescent="0.3">
      <c r="A63" s="67" t="s">
        <v>193</v>
      </c>
      <c r="B63" s="67" t="s">
        <v>237</v>
      </c>
      <c r="C63" s="68"/>
      <c r="D63" s="69"/>
      <c r="E63" s="68"/>
      <c r="F63" s="70"/>
      <c r="G63" s="68" t="s">
        <v>184</v>
      </c>
      <c r="H63" s="49"/>
      <c r="I63" s="50"/>
      <c r="J63" s="50"/>
      <c r="K63" s="51"/>
      <c r="L63" s="52">
        <v>63</v>
      </c>
      <c r="M6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3" s="53"/>
      <c r="O63" s="75" t="s">
        <v>489</v>
      </c>
      <c r="P63" s="75" t="s">
        <v>489</v>
      </c>
      <c r="Q63" s="75">
        <v>1</v>
      </c>
      <c r="R63" s="86">
        <v>42646</v>
      </c>
      <c r="S63" s="86">
        <f>EDATE(Edges[[#This Row],[Start
Time]],Edges[[#This Row],[Duración
(meses)]])</f>
        <v>43376</v>
      </c>
      <c r="T63" s="143">
        <v>24</v>
      </c>
      <c r="U63" s="76" t="s">
        <v>490</v>
      </c>
      <c r="V63" s="145"/>
      <c r="W63" s="145"/>
    </row>
    <row r="64" spans="1:23" x14ac:dyDescent="0.3">
      <c r="A64" s="67" t="s">
        <v>193</v>
      </c>
      <c r="B64" s="67" t="s">
        <v>234</v>
      </c>
      <c r="C64" s="68"/>
      <c r="D64" s="69"/>
      <c r="E64" s="68"/>
      <c r="F64" s="70"/>
      <c r="G64" s="68" t="s">
        <v>184</v>
      </c>
      <c r="H64" s="49"/>
      <c r="I64" s="50"/>
      <c r="J64" s="50"/>
      <c r="K64" s="51"/>
      <c r="L64" s="52">
        <v>64</v>
      </c>
      <c r="M6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4" s="53"/>
      <c r="O64" s="75" t="s">
        <v>480</v>
      </c>
      <c r="P64" s="75" t="s">
        <v>480</v>
      </c>
      <c r="Q64" s="75">
        <v>1</v>
      </c>
      <c r="R64" s="86">
        <v>42646</v>
      </c>
      <c r="S64" s="86">
        <f>EDATE(Edges[[#This Row],[Start
Time]],Edges[[#This Row],[Duración
(meses)]])</f>
        <v>43376</v>
      </c>
      <c r="T64" s="143">
        <v>24</v>
      </c>
      <c r="U64" s="76" t="s">
        <v>481</v>
      </c>
      <c r="V64" s="145"/>
      <c r="W64" s="145"/>
    </row>
    <row r="65" spans="1:23" x14ac:dyDescent="0.3">
      <c r="A65" s="67" t="s">
        <v>193</v>
      </c>
      <c r="B65" s="67" t="s">
        <v>219</v>
      </c>
      <c r="C65" s="68"/>
      <c r="D65" s="69"/>
      <c r="E65" s="68"/>
      <c r="F65" s="70"/>
      <c r="G65" s="68" t="s">
        <v>184</v>
      </c>
      <c r="H65" s="49"/>
      <c r="I65" s="50"/>
      <c r="J65" s="50"/>
      <c r="K65" s="51"/>
      <c r="L65" s="52">
        <v>65</v>
      </c>
      <c r="M6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5" s="53"/>
      <c r="O65" s="75" t="s">
        <v>451</v>
      </c>
      <c r="P65" s="75" t="s">
        <v>451</v>
      </c>
      <c r="Q65" s="75">
        <v>1</v>
      </c>
      <c r="R65" s="86">
        <v>42646</v>
      </c>
      <c r="S65" s="86">
        <f>EDATE(Edges[[#This Row],[Start
Time]],Edges[[#This Row],[Duración
(meses)]])</f>
        <v>43376</v>
      </c>
      <c r="T65" s="143">
        <v>24</v>
      </c>
      <c r="U65" s="76" t="s">
        <v>452</v>
      </c>
      <c r="V65" s="145"/>
      <c r="W65" s="145"/>
    </row>
    <row r="66" spans="1:23" x14ac:dyDescent="0.3">
      <c r="A66" s="67" t="s">
        <v>193</v>
      </c>
      <c r="B66" s="67" t="s">
        <v>230</v>
      </c>
      <c r="C66" s="68"/>
      <c r="D66" s="69"/>
      <c r="E66" s="68"/>
      <c r="F66" s="70"/>
      <c r="G66" s="68" t="s">
        <v>184</v>
      </c>
      <c r="H66" s="49"/>
      <c r="I66" s="50"/>
      <c r="J66" s="50"/>
      <c r="K66" s="51"/>
      <c r="L66" s="52">
        <v>66</v>
      </c>
      <c r="M6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6" s="53"/>
      <c r="O66" s="75" t="s">
        <v>471</v>
      </c>
      <c r="P66" s="75" t="s">
        <v>471</v>
      </c>
      <c r="Q66" s="75">
        <v>1</v>
      </c>
      <c r="R66" s="86">
        <v>42646</v>
      </c>
      <c r="S66" s="86">
        <f>EDATE(Edges[[#This Row],[Start
Time]],Edges[[#This Row],[Duración
(meses)]])</f>
        <v>43741</v>
      </c>
      <c r="T66" s="75">
        <v>36</v>
      </c>
      <c r="U66" s="76" t="s">
        <v>472</v>
      </c>
      <c r="V66" s="145"/>
      <c r="W66" s="145"/>
    </row>
    <row r="67" spans="1:23" x14ac:dyDescent="0.3">
      <c r="A67" s="67" t="s">
        <v>193</v>
      </c>
      <c r="B67" s="67" t="s">
        <v>231</v>
      </c>
      <c r="C67" s="68"/>
      <c r="D67" s="69"/>
      <c r="E67" s="68"/>
      <c r="F67" s="70"/>
      <c r="G67" s="68" t="s">
        <v>184</v>
      </c>
      <c r="H67" s="49"/>
      <c r="I67" s="50"/>
      <c r="J67" s="50"/>
      <c r="K67" s="51"/>
      <c r="L67" s="52">
        <v>67</v>
      </c>
      <c r="M6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7" s="53"/>
      <c r="O67" s="75" t="s">
        <v>473</v>
      </c>
      <c r="P67" s="75" t="s">
        <v>473</v>
      </c>
      <c r="Q67" s="75">
        <v>1</v>
      </c>
      <c r="R67" s="86">
        <v>42646</v>
      </c>
      <c r="S67" s="86">
        <f>EDATE(Edges[[#This Row],[Start
Time]],Edges[[#This Row],[Duración
(meses)]])</f>
        <v>43376</v>
      </c>
      <c r="T67" s="143">
        <v>24</v>
      </c>
      <c r="U67" s="76" t="s">
        <v>474</v>
      </c>
      <c r="V67" s="145"/>
      <c r="W67" s="145"/>
    </row>
    <row r="68" spans="1:23" x14ac:dyDescent="0.3">
      <c r="A68" s="67" t="s">
        <v>193</v>
      </c>
      <c r="B68" s="67" t="s">
        <v>183</v>
      </c>
      <c r="C68" s="68"/>
      <c r="D68" s="69"/>
      <c r="E68" s="68"/>
      <c r="F68" s="70"/>
      <c r="G68" s="68" t="s">
        <v>184</v>
      </c>
      <c r="H68" s="49"/>
      <c r="I68" s="50"/>
      <c r="J68" s="50"/>
      <c r="K68" s="51"/>
      <c r="L68" s="52">
        <v>68</v>
      </c>
      <c r="M6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8" s="53"/>
      <c r="O68" s="75" t="s">
        <v>477</v>
      </c>
      <c r="P68" s="75" t="s">
        <v>477</v>
      </c>
      <c r="Q68" s="75">
        <v>1</v>
      </c>
      <c r="R68" s="86">
        <v>42646</v>
      </c>
      <c r="S68" s="86">
        <f>EDATE(Edges[[#This Row],[Start
Time]],Edges[[#This Row],[Duración
(meses)]])</f>
        <v>43376</v>
      </c>
      <c r="T68" s="143">
        <v>24</v>
      </c>
      <c r="U68" s="76" t="s">
        <v>486</v>
      </c>
      <c r="V68" s="145"/>
      <c r="W68" s="145"/>
    </row>
    <row r="69" spans="1:23" x14ac:dyDescent="0.3">
      <c r="A69" s="67" t="s">
        <v>193</v>
      </c>
      <c r="B69" s="67" t="s">
        <v>331</v>
      </c>
      <c r="C69" s="68"/>
      <c r="D69" s="69"/>
      <c r="E69" s="68"/>
      <c r="F69" s="70"/>
      <c r="G69" s="68" t="s">
        <v>184</v>
      </c>
      <c r="H69" s="49"/>
      <c r="I69" s="50"/>
      <c r="J69" s="50"/>
      <c r="K69" s="51"/>
      <c r="L69" s="52">
        <v>69</v>
      </c>
      <c r="M6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69" s="53"/>
      <c r="O69" s="75" t="s">
        <v>547</v>
      </c>
      <c r="P69" s="75" t="s">
        <v>547</v>
      </c>
      <c r="Q69" s="75">
        <v>1</v>
      </c>
      <c r="R69" s="86">
        <v>42646</v>
      </c>
      <c r="S69" s="86">
        <f>EDATE(Edges[[#This Row],[Start
Time]],Edges[[#This Row],[Duración
(meses)]])</f>
        <v>43376</v>
      </c>
      <c r="T69" s="143">
        <v>24</v>
      </c>
      <c r="U69" s="76" t="s">
        <v>479</v>
      </c>
      <c r="V69" s="145"/>
      <c r="W69" s="145"/>
    </row>
    <row r="70" spans="1:23" x14ac:dyDescent="0.3">
      <c r="A70" s="67" t="s">
        <v>193</v>
      </c>
      <c r="B70" s="67" t="s">
        <v>242</v>
      </c>
      <c r="C70" s="68"/>
      <c r="D70" s="69"/>
      <c r="E70" s="68"/>
      <c r="F70" s="70"/>
      <c r="G70" s="68" t="s">
        <v>184</v>
      </c>
      <c r="H70" s="49"/>
      <c r="I70" s="50"/>
      <c r="J70" s="50"/>
      <c r="K70" s="51"/>
      <c r="L70" s="52">
        <v>70</v>
      </c>
      <c r="M7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0" s="53"/>
      <c r="O70" s="75" t="s">
        <v>499</v>
      </c>
      <c r="P70" s="75" t="s">
        <v>499</v>
      </c>
      <c r="Q70" s="75">
        <v>1</v>
      </c>
      <c r="R70" s="86">
        <v>42646</v>
      </c>
      <c r="S70" s="86">
        <f>EDATE(Edges[[#This Row],[Start
Time]],Edges[[#This Row],[Duración
(meses)]])</f>
        <v>43376</v>
      </c>
      <c r="T70" s="143">
        <v>24</v>
      </c>
      <c r="U70" s="76" t="s">
        <v>500</v>
      </c>
      <c r="V70" s="145"/>
      <c r="W70" s="145"/>
    </row>
    <row r="71" spans="1:23" x14ac:dyDescent="0.3">
      <c r="A71" s="67" t="s">
        <v>193</v>
      </c>
      <c r="B71" s="67" t="s">
        <v>208</v>
      </c>
      <c r="C71" s="68"/>
      <c r="D71" s="69"/>
      <c r="E71" s="68"/>
      <c r="F71" s="70"/>
      <c r="G71" s="68" t="s">
        <v>184</v>
      </c>
      <c r="H71" s="49"/>
      <c r="I71" s="50"/>
      <c r="J71" s="50"/>
      <c r="K71" s="51"/>
      <c r="L71" s="52">
        <v>71</v>
      </c>
      <c r="M7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1" s="53"/>
      <c r="O71" s="75" t="s">
        <v>436</v>
      </c>
      <c r="P71" s="75" t="s">
        <v>436</v>
      </c>
      <c r="Q71" s="75">
        <v>1</v>
      </c>
      <c r="R71" s="86">
        <v>42646</v>
      </c>
      <c r="S71" s="86">
        <f>EDATE(Edges[[#This Row],[Start
Time]],Edges[[#This Row],[Duración
(meses)]])</f>
        <v>44107</v>
      </c>
      <c r="T71" s="75">
        <v>48</v>
      </c>
      <c r="U71" s="76" t="s">
        <v>437</v>
      </c>
      <c r="V71" s="145"/>
      <c r="W71" s="145"/>
    </row>
    <row r="72" spans="1:23" x14ac:dyDescent="0.3">
      <c r="A72" s="67" t="s">
        <v>193</v>
      </c>
      <c r="B72" s="67" t="s">
        <v>218</v>
      </c>
      <c r="C72" s="68"/>
      <c r="D72" s="69"/>
      <c r="E72" s="68"/>
      <c r="F72" s="70"/>
      <c r="G72" s="68" t="s">
        <v>184</v>
      </c>
      <c r="H72" s="49"/>
      <c r="I72" s="50"/>
      <c r="J72" s="50"/>
      <c r="K72" s="51"/>
      <c r="L72" s="52">
        <v>72</v>
      </c>
      <c r="M7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2" s="53"/>
      <c r="O72" s="75" t="s">
        <v>449</v>
      </c>
      <c r="P72" s="75" t="s">
        <v>449</v>
      </c>
      <c r="Q72" s="75">
        <v>1</v>
      </c>
      <c r="R72" s="86">
        <v>42646</v>
      </c>
      <c r="S72" s="86">
        <f>EDATE(Edges[[#This Row],[Start
Time]],Edges[[#This Row],[Duración
(meses)]])</f>
        <v>43376</v>
      </c>
      <c r="T72" s="143">
        <v>24</v>
      </c>
      <c r="U72" s="76" t="s">
        <v>450</v>
      </c>
      <c r="V72" s="145"/>
      <c r="W72" s="145"/>
    </row>
    <row r="73" spans="1:23" x14ac:dyDescent="0.3">
      <c r="A73" s="67" t="s">
        <v>193</v>
      </c>
      <c r="B73" s="67" t="s">
        <v>228</v>
      </c>
      <c r="C73" s="68"/>
      <c r="D73" s="69"/>
      <c r="E73" s="68"/>
      <c r="F73" s="70"/>
      <c r="G73" s="68" t="s">
        <v>184</v>
      </c>
      <c r="H73" s="49"/>
      <c r="I73" s="50"/>
      <c r="J73" s="50"/>
      <c r="K73" s="51"/>
      <c r="L73" s="52">
        <v>73</v>
      </c>
      <c r="M7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3" s="53"/>
      <c r="O73" s="75" t="s">
        <v>467</v>
      </c>
      <c r="P73" s="75" t="s">
        <v>467</v>
      </c>
      <c r="Q73" s="75">
        <v>1</v>
      </c>
      <c r="R73" s="86">
        <v>42646</v>
      </c>
      <c r="S73" s="86">
        <f>EDATE(Edges[[#This Row],[Start
Time]],Edges[[#This Row],[Duración
(meses)]])</f>
        <v>43376</v>
      </c>
      <c r="T73" s="143">
        <v>24</v>
      </c>
      <c r="U73" s="76" t="s">
        <v>468</v>
      </c>
      <c r="V73" s="145"/>
      <c r="W73" s="145"/>
    </row>
    <row r="74" spans="1:23" x14ac:dyDescent="0.3">
      <c r="A74" s="67" t="s">
        <v>193</v>
      </c>
      <c r="B74" s="67" t="s">
        <v>241</v>
      </c>
      <c r="C74" s="68"/>
      <c r="D74" s="69"/>
      <c r="E74" s="68"/>
      <c r="F74" s="70"/>
      <c r="G74" s="68" t="s">
        <v>184</v>
      </c>
      <c r="H74" s="49"/>
      <c r="I74" s="50"/>
      <c r="J74" s="50"/>
      <c r="K74" s="51"/>
      <c r="L74" s="52">
        <v>74</v>
      </c>
      <c r="M7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4" s="53"/>
      <c r="O74" s="75" t="s">
        <v>497</v>
      </c>
      <c r="P74" s="75" t="s">
        <v>497</v>
      </c>
      <c r="Q74" s="75">
        <v>1</v>
      </c>
      <c r="R74" s="86">
        <v>42646</v>
      </c>
      <c r="S74" s="86">
        <f>EDATE(Edges[[#This Row],[Start
Time]],Edges[[#This Row],[Duración
(meses)]])</f>
        <v>44107</v>
      </c>
      <c r="T74" s="75">
        <v>48</v>
      </c>
      <c r="U74" s="76" t="s">
        <v>498</v>
      </c>
      <c r="V74" s="145"/>
      <c r="W74" s="145"/>
    </row>
    <row r="75" spans="1:23" x14ac:dyDescent="0.3">
      <c r="A75" s="67" t="s">
        <v>193</v>
      </c>
      <c r="B75" s="67" t="s">
        <v>228</v>
      </c>
      <c r="C75" s="68"/>
      <c r="D75" s="69"/>
      <c r="E75" s="68"/>
      <c r="F75" s="70"/>
      <c r="G75" s="68" t="s">
        <v>184</v>
      </c>
      <c r="H75" s="49"/>
      <c r="I75" s="50"/>
      <c r="J75" s="50"/>
      <c r="K75" s="51"/>
      <c r="L75" s="52">
        <v>75</v>
      </c>
      <c r="M7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5" s="53"/>
      <c r="O75" s="75" t="s">
        <v>487</v>
      </c>
      <c r="P75" s="75" t="s">
        <v>487</v>
      </c>
      <c r="Q75" s="75">
        <v>1</v>
      </c>
      <c r="R75" s="86">
        <v>42646</v>
      </c>
      <c r="S75" s="86">
        <f>EDATE(Edges[[#This Row],[Start
Time]],Edges[[#This Row],[Duración
(meses)]])</f>
        <v>43376</v>
      </c>
      <c r="T75" s="143">
        <v>24</v>
      </c>
      <c r="U75" s="76" t="s">
        <v>488</v>
      </c>
      <c r="V75" s="145"/>
      <c r="W75" s="145"/>
    </row>
    <row r="76" spans="1:23" x14ac:dyDescent="0.3">
      <c r="A76" s="67" t="s">
        <v>193</v>
      </c>
      <c r="B76" s="67" t="s">
        <v>220</v>
      </c>
      <c r="C76" s="68"/>
      <c r="D76" s="69"/>
      <c r="E76" s="68"/>
      <c r="F76" s="70"/>
      <c r="G76" s="68" t="s">
        <v>184</v>
      </c>
      <c r="H76" s="49"/>
      <c r="I76" s="50"/>
      <c r="J76" s="50"/>
      <c r="K76" s="51"/>
      <c r="L76" s="52">
        <v>76</v>
      </c>
      <c r="M7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6" s="53"/>
      <c r="O76" s="75" t="s">
        <v>453</v>
      </c>
      <c r="P76" s="75" t="s">
        <v>453</v>
      </c>
      <c r="Q76" s="75">
        <v>1</v>
      </c>
      <c r="R76" s="86">
        <v>42646</v>
      </c>
      <c r="S76" s="86">
        <f>EDATE(Edges[[#This Row],[Start
Time]],Edges[[#This Row],[Duración
(meses)]])</f>
        <v>43741</v>
      </c>
      <c r="T76" s="75">
        <v>36</v>
      </c>
      <c r="U76" s="76" t="s">
        <v>454</v>
      </c>
      <c r="V76" s="145"/>
      <c r="W76" s="145"/>
    </row>
    <row r="77" spans="1:23" x14ac:dyDescent="0.3">
      <c r="A77" s="67" t="s">
        <v>193</v>
      </c>
      <c r="B77" s="67" t="s">
        <v>207</v>
      </c>
      <c r="C77" s="68"/>
      <c r="D77" s="69"/>
      <c r="E77" s="68"/>
      <c r="F77" s="70"/>
      <c r="G77" s="68" t="s">
        <v>184</v>
      </c>
      <c r="H77" s="49"/>
      <c r="I77" s="50"/>
      <c r="J77" s="50"/>
      <c r="K77" s="51"/>
      <c r="L77" s="52">
        <v>77</v>
      </c>
      <c r="M7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7" s="53"/>
      <c r="O77" s="75" t="s">
        <v>434</v>
      </c>
      <c r="P77" s="75" t="s">
        <v>434</v>
      </c>
      <c r="Q77" s="75">
        <v>1</v>
      </c>
      <c r="R77" s="86">
        <v>42646</v>
      </c>
      <c r="S77" s="86">
        <f>EDATE(Edges[[#This Row],[Start
Time]],Edges[[#This Row],[Duración
(meses)]])</f>
        <v>44107</v>
      </c>
      <c r="T77" s="75">
        <v>48</v>
      </c>
      <c r="U77" s="76" t="s">
        <v>435</v>
      </c>
      <c r="V77" s="145"/>
      <c r="W77" s="145"/>
    </row>
    <row r="78" spans="1:23" x14ac:dyDescent="0.3">
      <c r="A78" s="67" t="s">
        <v>193</v>
      </c>
      <c r="B78" s="67" t="s">
        <v>236</v>
      </c>
      <c r="C78" s="68"/>
      <c r="D78" s="69"/>
      <c r="E78" s="68"/>
      <c r="F78" s="70"/>
      <c r="G78" s="68" t="s">
        <v>184</v>
      </c>
      <c r="H78" s="49"/>
      <c r="I78" s="50"/>
      <c r="J78" s="50"/>
      <c r="K78" s="51"/>
      <c r="L78" s="52">
        <v>78</v>
      </c>
      <c r="M7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8" s="53"/>
      <c r="O78" s="75" t="s">
        <v>484</v>
      </c>
      <c r="P78" s="75" t="s">
        <v>484</v>
      </c>
      <c r="Q78" s="75">
        <v>1</v>
      </c>
      <c r="R78" s="86">
        <v>42646</v>
      </c>
      <c r="S78" s="86">
        <f>EDATE(Edges[[#This Row],[Start
Time]],Edges[[#This Row],[Duración
(meses)]])</f>
        <v>43741</v>
      </c>
      <c r="T78" s="75">
        <v>36</v>
      </c>
      <c r="U78" s="76" t="s">
        <v>485</v>
      </c>
      <c r="V78" s="145"/>
      <c r="W78" s="145"/>
    </row>
    <row r="79" spans="1:23" x14ac:dyDescent="0.3">
      <c r="A79" s="67" t="s">
        <v>220</v>
      </c>
      <c r="B79" s="67" t="s">
        <v>340</v>
      </c>
      <c r="C79" s="68"/>
      <c r="D79" s="69"/>
      <c r="E79" s="68"/>
      <c r="F79" s="70"/>
      <c r="G79" s="68" t="s">
        <v>184</v>
      </c>
      <c r="H79" s="49"/>
      <c r="I79" s="50"/>
      <c r="J79" s="50"/>
      <c r="K79" s="51"/>
      <c r="L79" s="52">
        <v>79</v>
      </c>
      <c r="M7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79" s="53"/>
      <c r="O79" s="75" t="s">
        <v>453</v>
      </c>
      <c r="P79" s="75" t="s">
        <v>553</v>
      </c>
      <c r="Q79" s="75">
        <v>1</v>
      </c>
      <c r="R79" s="86">
        <v>42646</v>
      </c>
      <c r="S79" s="86">
        <f>EDATE(Edges[[#This Row],[Start
Time]],Edges[[#This Row],[Duración
(meses)]])</f>
        <v>43741</v>
      </c>
      <c r="T79" s="75">
        <v>36</v>
      </c>
      <c r="U79" s="76" t="s">
        <v>454</v>
      </c>
      <c r="V79" s="145"/>
      <c r="W79" s="145"/>
    </row>
    <row r="80" spans="1:23" x14ac:dyDescent="0.3">
      <c r="A80" s="67" t="s">
        <v>214</v>
      </c>
      <c r="B80" s="67" t="s">
        <v>281</v>
      </c>
      <c r="C80" s="68"/>
      <c r="D80" s="69"/>
      <c r="E80" s="68"/>
      <c r="F80" s="70"/>
      <c r="G80" s="68" t="s">
        <v>184</v>
      </c>
      <c r="H80" s="49"/>
      <c r="I80" s="50"/>
      <c r="J80" s="50"/>
      <c r="K80" s="51"/>
      <c r="L80" s="52">
        <v>80</v>
      </c>
      <c r="M8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0" s="53"/>
      <c r="O80" s="75" t="s">
        <v>528</v>
      </c>
      <c r="P80" s="75" t="s">
        <v>528</v>
      </c>
      <c r="Q80" s="75">
        <v>1</v>
      </c>
      <c r="R80" s="86">
        <v>42757</v>
      </c>
      <c r="S80" s="86">
        <f>Edges[[#This Row],[Start
Time]]+Edges[[#This Row],[Duración
(meses)]]*30</f>
        <v>45637</v>
      </c>
      <c r="T80" s="75">
        <v>96</v>
      </c>
      <c r="U80" s="76" t="s">
        <v>742</v>
      </c>
      <c r="V80" s="145"/>
      <c r="W80" s="145"/>
    </row>
    <row r="81" spans="1:23" x14ac:dyDescent="0.3">
      <c r="A81" s="67" t="s">
        <v>281</v>
      </c>
      <c r="B81" s="67" t="s">
        <v>282</v>
      </c>
      <c r="C81" s="68"/>
      <c r="D81" s="69"/>
      <c r="E81" s="68"/>
      <c r="F81" s="70"/>
      <c r="G81" s="68" t="s">
        <v>184</v>
      </c>
      <c r="H81" s="49"/>
      <c r="I81" s="50"/>
      <c r="J81" s="50"/>
      <c r="K81" s="51"/>
      <c r="L81" s="52">
        <v>81</v>
      </c>
      <c r="M8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1" s="53"/>
      <c r="O81" s="75" t="s">
        <v>528</v>
      </c>
      <c r="P81" s="75" t="s">
        <v>528</v>
      </c>
      <c r="Q81" s="75">
        <v>1</v>
      </c>
      <c r="R81" s="86">
        <v>42757</v>
      </c>
      <c r="S81" s="86">
        <f>Edges[[#This Row],[Start
Time]]+Edges[[#This Row],[Duración
(meses)]]*30</f>
        <v>45637</v>
      </c>
      <c r="T81" s="75">
        <v>96</v>
      </c>
      <c r="U81" s="76" t="s">
        <v>742</v>
      </c>
      <c r="V81" s="145"/>
      <c r="W81" s="145"/>
    </row>
    <row r="82" spans="1:23" x14ac:dyDescent="0.3">
      <c r="A82" s="67" t="s">
        <v>281</v>
      </c>
      <c r="B82" s="67" t="s">
        <v>283</v>
      </c>
      <c r="C82" s="68"/>
      <c r="D82" s="69"/>
      <c r="E82" s="68"/>
      <c r="F82" s="70"/>
      <c r="G82" s="68" t="s">
        <v>184</v>
      </c>
      <c r="H82" s="49"/>
      <c r="I82" s="50"/>
      <c r="J82" s="50"/>
      <c r="K82" s="51"/>
      <c r="L82" s="52">
        <v>82</v>
      </c>
      <c r="M8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2" s="53"/>
      <c r="O82" s="75" t="s">
        <v>528</v>
      </c>
      <c r="P82" s="75" t="s">
        <v>529</v>
      </c>
      <c r="Q82" s="75">
        <v>1</v>
      </c>
      <c r="R82" s="86">
        <v>42757</v>
      </c>
      <c r="S82" s="86">
        <f>Edges[[#This Row],[Start
Time]]+Edges[[#This Row],[Duración
(meses)]]*30</f>
        <v>45637</v>
      </c>
      <c r="T82" s="75">
        <v>96</v>
      </c>
      <c r="U82" s="76" t="s">
        <v>742</v>
      </c>
      <c r="V82" s="145"/>
      <c r="W82" s="145"/>
    </row>
    <row r="83" spans="1:23" x14ac:dyDescent="0.3">
      <c r="A83" s="67" t="s">
        <v>281</v>
      </c>
      <c r="B83" s="67" t="s">
        <v>245</v>
      </c>
      <c r="C83" s="68"/>
      <c r="D83" s="69"/>
      <c r="E83" s="68"/>
      <c r="F83" s="70"/>
      <c r="G83" s="68" t="s">
        <v>184</v>
      </c>
      <c r="H83" s="49"/>
      <c r="I83" s="50"/>
      <c r="J83" s="50"/>
      <c r="K83" s="51"/>
      <c r="L83" s="52">
        <v>83</v>
      </c>
      <c r="M8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3" s="53"/>
      <c r="O83" s="75" t="s">
        <v>528</v>
      </c>
      <c r="P83" s="75" t="s">
        <v>529</v>
      </c>
      <c r="Q83" s="75">
        <v>1</v>
      </c>
      <c r="R83" s="86">
        <v>42757</v>
      </c>
      <c r="S83" s="86">
        <f>Edges[[#This Row],[Start
Time]]+Edges[[#This Row],[Duración
(meses)]]*30</f>
        <v>45637</v>
      </c>
      <c r="T83" s="75">
        <v>96</v>
      </c>
      <c r="U83" s="76" t="s">
        <v>742</v>
      </c>
      <c r="V83" s="145"/>
      <c r="W83" s="145"/>
    </row>
    <row r="84" spans="1:23" x14ac:dyDescent="0.3">
      <c r="A84" s="67" t="s">
        <v>281</v>
      </c>
      <c r="B84" s="67" t="s">
        <v>252</v>
      </c>
      <c r="C84" s="68"/>
      <c r="D84" s="69"/>
      <c r="E84" s="68"/>
      <c r="F84" s="70"/>
      <c r="G84" s="68" t="s">
        <v>184</v>
      </c>
      <c r="H84" s="49"/>
      <c r="I84" s="50"/>
      <c r="J84" s="50"/>
      <c r="K84" s="51"/>
      <c r="L84" s="52">
        <v>84</v>
      </c>
      <c r="M8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4" s="53"/>
      <c r="O84" s="75" t="s">
        <v>528</v>
      </c>
      <c r="P84" s="75" t="s">
        <v>530</v>
      </c>
      <c r="Q84" s="75">
        <v>1</v>
      </c>
      <c r="R84" s="86">
        <v>42757</v>
      </c>
      <c r="S84" s="86">
        <f>Edges[[#This Row],[Start
Time]]+Edges[[#This Row],[Duración
(meses)]]*30</f>
        <v>45637</v>
      </c>
      <c r="T84" s="75">
        <v>96</v>
      </c>
      <c r="U84" s="76" t="s">
        <v>742</v>
      </c>
      <c r="V84" s="145"/>
      <c r="W84" s="145"/>
    </row>
    <row r="85" spans="1:23" x14ac:dyDescent="0.3">
      <c r="A85" s="67" t="s">
        <v>281</v>
      </c>
      <c r="B85" s="67" t="s">
        <v>257</v>
      </c>
      <c r="C85" s="68"/>
      <c r="D85" s="69"/>
      <c r="E85" s="68"/>
      <c r="F85" s="70"/>
      <c r="G85" s="68" t="s">
        <v>184</v>
      </c>
      <c r="H85" s="49"/>
      <c r="I85" s="50"/>
      <c r="J85" s="50"/>
      <c r="K85" s="51"/>
      <c r="L85" s="52">
        <v>85</v>
      </c>
      <c r="M8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5" s="53"/>
      <c r="O85" s="75" t="s">
        <v>528</v>
      </c>
      <c r="P85" s="75" t="s">
        <v>530</v>
      </c>
      <c r="Q85" s="75">
        <v>1</v>
      </c>
      <c r="R85" s="86">
        <v>42757</v>
      </c>
      <c r="S85" s="86">
        <f>Edges[[#This Row],[Start
Time]]+Edges[[#This Row],[Duración
(meses)]]*30</f>
        <v>45637</v>
      </c>
      <c r="T85" s="75">
        <v>96</v>
      </c>
      <c r="U85" s="76" t="s">
        <v>742</v>
      </c>
      <c r="V85" s="145"/>
      <c r="W85" s="145"/>
    </row>
    <row r="86" spans="1:23" x14ac:dyDescent="0.3">
      <c r="A86" s="67" t="s">
        <v>281</v>
      </c>
      <c r="B86" s="67" t="s">
        <v>246</v>
      </c>
      <c r="C86" s="68"/>
      <c r="D86" s="69"/>
      <c r="E86" s="68"/>
      <c r="F86" s="70"/>
      <c r="G86" s="68" t="s">
        <v>184</v>
      </c>
      <c r="H86" s="49"/>
      <c r="I86" s="50"/>
      <c r="J86" s="50"/>
      <c r="K86" s="51"/>
      <c r="L86" s="52">
        <v>86</v>
      </c>
      <c r="M8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6" s="53"/>
      <c r="O86" s="75" t="s">
        <v>528</v>
      </c>
      <c r="P86" s="75" t="s">
        <v>530</v>
      </c>
      <c r="Q86" s="75">
        <v>1</v>
      </c>
      <c r="R86" s="86">
        <v>42757</v>
      </c>
      <c r="S86" s="86">
        <f>Edges[[#This Row],[Start
Time]]+Edges[[#This Row],[Duración
(meses)]]*30</f>
        <v>45637</v>
      </c>
      <c r="T86" s="75">
        <v>96</v>
      </c>
      <c r="U86" s="76" t="s">
        <v>742</v>
      </c>
      <c r="V86" s="145"/>
      <c r="W86" s="145"/>
    </row>
    <row r="87" spans="1:23" x14ac:dyDescent="0.3">
      <c r="A87" s="67" t="s">
        <v>236</v>
      </c>
      <c r="B87" s="67" t="s">
        <v>344</v>
      </c>
      <c r="C87" s="68"/>
      <c r="D87" s="69"/>
      <c r="E87" s="68"/>
      <c r="F87" s="70"/>
      <c r="G87" s="68" t="s">
        <v>184</v>
      </c>
      <c r="H87" s="49"/>
      <c r="I87" s="50"/>
      <c r="J87" s="50"/>
      <c r="K87" s="51"/>
      <c r="L87" s="52">
        <v>87</v>
      </c>
      <c r="M8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7" s="53"/>
      <c r="O87" s="75" t="s">
        <v>484</v>
      </c>
      <c r="P87" s="75" t="s">
        <v>555</v>
      </c>
      <c r="Q87" s="75">
        <v>1</v>
      </c>
      <c r="R87" s="86">
        <v>42646</v>
      </c>
      <c r="S87" s="86">
        <f>EDATE(Edges[[#This Row],[Start
Time]],Edges[[#This Row],[Duración
(meses)]])</f>
        <v>43741</v>
      </c>
      <c r="T87" s="75">
        <v>36</v>
      </c>
      <c r="U87" s="76" t="s">
        <v>485</v>
      </c>
      <c r="V87" s="145"/>
      <c r="W87" s="145"/>
    </row>
    <row r="88" spans="1:23" x14ac:dyDescent="0.3">
      <c r="A88" s="67" t="s">
        <v>231</v>
      </c>
      <c r="B88" s="67" t="s">
        <v>257</v>
      </c>
      <c r="C88" s="68"/>
      <c r="D88" s="69"/>
      <c r="E88" s="68"/>
      <c r="F88" s="70"/>
      <c r="G88" s="68" t="s">
        <v>184</v>
      </c>
      <c r="H88" s="49"/>
      <c r="I88" s="50"/>
      <c r="J88" s="50"/>
      <c r="K88" s="51"/>
      <c r="L88" s="52">
        <v>88</v>
      </c>
      <c r="M8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8" s="53"/>
      <c r="O88" s="75" t="s">
        <v>473</v>
      </c>
      <c r="P88" s="75" t="s">
        <v>546</v>
      </c>
      <c r="Q88" s="75">
        <v>1</v>
      </c>
      <c r="R88" s="86">
        <v>42646</v>
      </c>
      <c r="S88" s="86">
        <f>EDATE(Edges[[#This Row],[Start
Time]],Edges[[#This Row],[Duración
(meses)]])</f>
        <v>43376</v>
      </c>
      <c r="T88" s="143">
        <v>24</v>
      </c>
      <c r="U88" s="76" t="s">
        <v>474</v>
      </c>
      <c r="V88" s="145"/>
      <c r="W88" s="145"/>
    </row>
    <row r="89" spans="1:23" x14ac:dyDescent="0.3">
      <c r="A89" s="67" t="s">
        <v>231</v>
      </c>
      <c r="B89" s="67" t="s">
        <v>330</v>
      </c>
      <c r="C89" s="68"/>
      <c r="D89" s="69"/>
      <c r="E89" s="68"/>
      <c r="F89" s="70"/>
      <c r="G89" s="68" t="s">
        <v>184</v>
      </c>
      <c r="H89" s="49"/>
      <c r="I89" s="50"/>
      <c r="J89" s="50"/>
      <c r="K89" s="51"/>
      <c r="L89" s="52">
        <v>89</v>
      </c>
      <c r="M8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89" s="53"/>
      <c r="O89" s="75" t="s">
        <v>473</v>
      </c>
      <c r="P89" s="75" t="s">
        <v>546</v>
      </c>
      <c r="Q89" s="75">
        <v>1</v>
      </c>
      <c r="R89" s="86">
        <v>42646</v>
      </c>
      <c r="S89" s="86">
        <f>EDATE(Edges[[#This Row],[Start
Time]],Edges[[#This Row],[Duración
(meses)]])</f>
        <v>43376</v>
      </c>
      <c r="T89" s="143">
        <v>24</v>
      </c>
      <c r="U89" s="76" t="s">
        <v>474</v>
      </c>
      <c r="V89" s="145"/>
      <c r="W89" s="145"/>
    </row>
    <row r="90" spans="1:23" x14ac:dyDescent="0.3">
      <c r="A90" s="67" t="s">
        <v>281</v>
      </c>
      <c r="B90" s="67" t="s">
        <v>259</v>
      </c>
      <c r="C90" s="68"/>
      <c r="D90" s="69"/>
      <c r="E90" s="68"/>
      <c r="F90" s="70"/>
      <c r="G90" s="68" t="s">
        <v>184</v>
      </c>
      <c r="H90" s="49"/>
      <c r="I90" s="50"/>
      <c r="J90" s="50"/>
      <c r="K90" s="51"/>
      <c r="L90" s="52">
        <v>90</v>
      </c>
      <c r="M9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90" s="53"/>
      <c r="O90" s="75" t="s">
        <v>528</v>
      </c>
      <c r="P90" s="75" t="s">
        <v>530</v>
      </c>
      <c r="Q90" s="75">
        <v>1</v>
      </c>
      <c r="R90" s="86">
        <v>42757</v>
      </c>
      <c r="S90" s="86">
        <f>Edges[[#This Row],[Start
Time]]+Edges[[#This Row],[Duración
(meses)]]*30</f>
        <v>45637</v>
      </c>
      <c r="T90" s="75">
        <v>96</v>
      </c>
      <c r="U90" s="76" t="s">
        <v>742</v>
      </c>
      <c r="V90" s="145"/>
      <c r="W90" s="145"/>
    </row>
    <row r="91" spans="1:23" x14ac:dyDescent="0.3">
      <c r="A91" s="67" t="s">
        <v>281</v>
      </c>
      <c r="B91" s="67" t="s">
        <v>277</v>
      </c>
      <c r="C91" s="68"/>
      <c r="D91" s="69"/>
      <c r="E91" s="68"/>
      <c r="F91" s="70"/>
      <c r="G91" s="68" t="s">
        <v>184</v>
      </c>
      <c r="H91" s="49"/>
      <c r="I91" s="50"/>
      <c r="J91" s="50"/>
      <c r="K91" s="51"/>
      <c r="L91" s="52">
        <v>91</v>
      </c>
      <c r="M9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91" s="53"/>
      <c r="O91" s="75" t="s">
        <v>528</v>
      </c>
      <c r="P91" s="75" t="s">
        <v>530</v>
      </c>
      <c r="Q91" s="75">
        <v>1</v>
      </c>
      <c r="R91" s="86">
        <v>42757</v>
      </c>
      <c r="S91" s="86">
        <f>Edges[[#This Row],[Start
Time]]+Edges[[#This Row],[Duración
(meses)]]*30</f>
        <v>45637</v>
      </c>
      <c r="T91" s="75">
        <v>96</v>
      </c>
      <c r="U91" s="76" t="s">
        <v>742</v>
      </c>
      <c r="V91" s="145"/>
      <c r="W91" s="145"/>
    </row>
    <row r="92" spans="1:23" x14ac:dyDescent="0.3">
      <c r="A92" s="67" t="s">
        <v>214</v>
      </c>
      <c r="B92" s="67" t="s">
        <v>284</v>
      </c>
      <c r="C92" s="68"/>
      <c r="D92" s="69"/>
      <c r="E92" s="68"/>
      <c r="F92" s="70"/>
      <c r="G92" s="68" t="s">
        <v>184</v>
      </c>
      <c r="H92" s="49"/>
      <c r="I92" s="50"/>
      <c r="J92" s="50"/>
      <c r="K92" s="51"/>
      <c r="L92" s="52">
        <v>92</v>
      </c>
      <c r="M9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92" s="53"/>
      <c r="O92" s="75" t="s">
        <v>531</v>
      </c>
      <c r="P92" s="75" t="s">
        <v>531</v>
      </c>
      <c r="Q92" s="75">
        <v>1</v>
      </c>
      <c r="R92" s="86">
        <v>42757</v>
      </c>
      <c r="S92" s="86">
        <f>Edges[[#This Row],[Start
Time]]+Edges[[#This Row],[Duración
(meses)]]*30</f>
        <v>45637</v>
      </c>
      <c r="T92" s="75">
        <v>96</v>
      </c>
      <c r="U92" s="76" t="s">
        <v>743</v>
      </c>
      <c r="V92" s="145"/>
      <c r="W92" s="145"/>
    </row>
    <row r="93" spans="1:23" x14ac:dyDescent="0.3">
      <c r="A93" s="67" t="s">
        <v>284</v>
      </c>
      <c r="B93" s="67" t="s">
        <v>285</v>
      </c>
      <c r="C93" s="68"/>
      <c r="D93" s="69"/>
      <c r="E93" s="68"/>
      <c r="F93" s="70"/>
      <c r="G93" s="68" t="s">
        <v>184</v>
      </c>
      <c r="H93" s="49"/>
      <c r="I93" s="50"/>
      <c r="J93" s="50"/>
      <c r="K93" s="51"/>
      <c r="L93" s="52">
        <v>93</v>
      </c>
      <c r="M9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93" s="53"/>
      <c r="O93" s="75" t="s">
        <v>531</v>
      </c>
      <c r="P93" s="75" t="s">
        <v>531</v>
      </c>
      <c r="Q93" s="75">
        <v>1</v>
      </c>
      <c r="R93" s="86">
        <v>42757</v>
      </c>
      <c r="S93" s="86">
        <f>Edges[[#This Row],[Start
Time]]+Edges[[#This Row],[Duración
(meses)]]*30</f>
        <v>45637</v>
      </c>
      <c r="T93" s="75">
        <v>96</v>
      </c>
      <c r="U93" s="76" t="s">
        <v>743</v>
      </c>
      <c r="V93" s="145"/>
      <c r="W93" s="145"/>
    </row>
    <row r="94" spans="1:23" x14ac:dyDescent="0.3">
      <c r="A94" s="67" t="s">
        <v>284</v>
      </c>
      <c r="B94" s="67" t="s">
        <v>245</v>
      </c>
      <c r="C94" s="68"/>
      <c r="D94" s="69"/>
      <c r="E94" s="68"/>
      <c r="F94" s="70"/>
      <c r="G94" s="68" t="s">
        <v>184</v>
      </c>
      <c r="H94" s="49"/>
      <c r="I94" s="50"/>
      <c r="J94" s="50"/>
      <c r="K94" s="51"/>
      <c r="L94" s="52">
        <v>94</v>
      </c>
      <c r="M9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94" s="53"/>
      <c r="O94" s="75" t="s">
        <v>531</v>
      </c>
      <c r="P94" s="75" t="s">
        <v>532</v>
      </c>
      <c r="Q94" s="75">
        <v>1</v>
      </c>
      <c r="R94" s="86">
        <v>42757</v>
      </c>
      <c r="S94" s="86">
        <f>Edges[[#This Row],[Start
Time]]+Edges[[#This Row],[Duración
(meses)]]*30</f>
        <v>45637</v>
      </c>
      <c r="T94" s="75">
        <v>96</v>
      </c>
      <c r="U94" s="76" t="s">
        <v>743</v>
      </c>
      <c r="V94" s="145"/>
      <c r="W94" s="145"/>
    </row>
    <row r="95" spans="1:23" x14ac:dyDescent="0.3">
      <c r="A95" s="67" t="s">
        <v>284</v>
      </c>
      <c r="B95" s="67" t="s">
        <v>286</v>
      </c>
      <c r="C95" s="68"/>
      <c r="D95" s="69"/>
      <c r="E95" s="68"/>
      <c r="F95" s="70"/>
      <c r="G95" s="68" t="s">
        <v>184</v>
      </c>
      <c r="H95" s="49"/>
      <c r="I95" s="50"/>
      <c r="J95" s="50"/>
      <c r="K95" s="51"/>
      <c r="L95" s="52">
        <v>95</v>
      </c>
      <c r="M9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95" s="53"/>
      <c r="O95" s="75" t="s">
        <v>531</v>
      </c>
      <c r="P95" s="75" t="s">
        <v>532</v>
      </c>
      <c r="Q95" s="75">
        <v>1</v>
      </c>
      <c r="R95" s="86">
        <v>42757</v>
      </c>
      <c r="S95" s="86">
        <f>Edges[[#This Row],[Start
Time]]+Edges[[#This Row],[Duración
(meses)]]*30</f>
        <v>45637</v>
      </c>
      <c r="T95" s="75">
        <v>96</v>
      </c>
      <c r="U95" s="76" t="s">
        <v>743</v>
      </c>
      <c r="V95" s="145"/>
      <c r="W95" s="145"/>
    </row>
    <row r="96" spans="1:23" x14ac:dyDescent="0.3">
      <c r="A96" s="67" t="s">
        <v>284</v>
      </c>
      <c r="B96" s="67" t="s">
        <v>200</v>
      </c>
      <c r="C96" s="68"/>
      <c r="D96" s="69"/>
      <c r="E96" s="68"/>
      <c r="F96" s="70"/>
      <c r="G96" s="68" t="s">
        <v>184</v>
      </c>
      <c r="H96" s="49"/>
      <c r="I96" s="50"/>
      <c r="J96" s="50"/>
      <c r="K96" s="51"/>
      <c r="L96" s="52">
        <v>96</v>
      </c>
      <c r="M9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96" s="53"/>
      <c r="O96" s="75" t="s">
        <v>531</v>
      </c>
      <c r="P96" s="75" t="s">
        <v>532</v>
      </c>
      <c r="Q96" s="75">
        <v>1</v>
      </c>
      <c r="R96" s="86">
        <v>42757</v>
      </c>
      <c r="S96" s="86">
        <f>Edges[[#This Row],[Start
Time]]+Edges[[#This Row],[Duración
(meses)]]*30</f>
        <v>45637</v>
      </c>
      <c r="T96" s="75">
        <v>96</v>
      </c>
      <c r="U96" s="76" t="s">
        <v>743</v>
      </c>
      <c r="V96" s="145"/>
      <c r="W96" s="145"/>
    </row>
    <row r="97" spans="1:23" x14ac:dyDescent="0.3">
      <c r="A97" s="67" t="s">
        <v>284</v>
      </c>
      <c r="B97" s="67" t="s">
        <v>207</v>
      </c>
      <c r="C97" s="68"/>
      <c r="D97" s="69"/>
      <c r="E97" s="68"/>
      <c r="F97" s="70"/>
      <c r="G97" s="68" t="s">
        <v>184</v>
      </c>
      <c r="H97" s="49"/>
      <c r="I97" s="50"/>
      <c r="J97" s="50"/>
      <c r="K97" s="51"/>
      <c r="L97" s="52">
        <v>97</v>
      </c>
      <c r="M9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97" s="53"/>
      <c r="O97" s="75" t="s">
        <v>531</v>
      </c>
      <c r="P97" s="75" t="s">
        <v>532</v>
      </c>
      <c r="Q97" s="75">
        <v>1</v>
      </c>
      <c r="R97" s="86">
        <v>42757</v>
      </c>
      <c r="S97" s="86">
        <f>Edges[[#This Row],[Start
Time]]+Edges[[#This Row],[Duración
(meses)]]*30</f>
        <v>45637</v>
      </c>
      <c r="T97" s="75">
        <v>96</v>
      </c>
      <c r="U97" s="76" t="s">
        <v>743</v>
      </c>
      <c r="V97" s="145"/>
      <c r="W97" s="145"/>
    </row>
    <row r="98" spans="1:23" x14ac:dyDescent="0.3">
      <c r="A98" s="67" t="s">
        <v>214</v>
      </c>
      <c r="B98" s="67" t="s">
        <v>287</v>
      </c>
      <c r="C98" s="68"/>
      <c r="D98" s="69"/>
      <c r="E98" s="68"/>
      <c r="F98" s="70"/>
      <c r="G98" s="68" t="s">
        <v>184</v>
      </c>
      <c r="H98" s="49"/>
      <c r="I98" s="50"/>
      <c r="J98" s="50"/>
      <c r="K98" s="51"/>
      <c r="L98" s="52">
        <v>98</v>
      </c>
      <c r="M9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0</v>
      </c>
      <c r="N98" s="53"/>
      <c r="O98" s="75" t="s">
        <v>533</v>
      </c>
      <c r="P98" s="75" t="s">
        <v>533</v>
      </c>
      <c r="Q98" s="75">
        <v>1</v>
      </c>
      <c r="R98" s="86">
        <v>42757</v>
      </c>
      <c r="S98" s="86">
        <f>Edges[[#This Row],[Start
Time]]+Edges[[#This Row],[Duración
(meses)]]*30</f>
        <v>46357</v>
      </c>
      <c r="T98" s="75">
        <v>120</v>
      </c>
      <c r="U98" s="76" t="s">
        <v>744</v>
      </c>
      <c r="V98" s="145"/>
      <c r="W98" s="145"/>
    </row>
    <row r="99" spans="1:23" x14ac:dyDescent="0.3">
      <c r="A99" s="67" t="s">
        <v>287</v>
      </c>
      <c r="B99" s="67" t="s">
        <v>257</v>
      </c>
      <c r="C99" s="68"/>
      <c r="D99" s="69"/>
      <c r="E99" s="68"/>
      <c r="F99" s="70"/>
      <c r="G99" s="68" t="s">
        <v>184</v>
      </c>
      <c r="H99" s="49"/>
      <c r="I99" s="50"/>
      <c r="J99" s="50"/>
      <c r="K99" s="51"/>
      <c r="L99" s="52">
        <v>99</v>
      </c>
      <c r="M9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0</v>
      </c>
      <c r="N99" s="53"/>
      <c r="O99" s="75" t="s">
        <v>533</v>
      </c>
      <c r="P99" s="75" t="s">
        <v>533</v>
      </c>
      <c r="Q99" s="75">
        <v>1</v>
      </c>
      <c r="R99" s="86">
        <v>42757</v>
      </c>
      <c r="S99" s="86">
        <f>Edges[[#This Row],[Start
Time]]+Edges[[#This Row],[Duración
(meses)]]*30</f>
        <v>46357</v>
      </c>
      <c r="T99" s="75">
        <v>120</v>
      </c>
      <c r="U99" s="76" t="s">
        <v>744</v>
      </c>
      <c r="V99" s="145"/>
      <c r="W99" s="145"/>
    </row>
    <row r="100" spans="1:23" x14ac:dyDescent="0.3">
      <c r="A100" s="67" t="s">
        <v>287</v>
      </c>
      <c r="B100" s="67" t="s">
        <v>288</v>
      </c>
      <c r="C100" s="68"/>
      <c r="D100" s="69"/>
      <c r="E100" s="68"/>
      <c r="F100" s="70"/>
      <c r="G100" s="68" t="s">
        <v>184</v>
      </c>
      <c r="H100" s="49"/>
      <c r="I100" s="50"/>
      <c r="J100" s="50"/>
      <c r="K100" s="51"/>
      <c r="L100" s="52">
        <v>100</v>
      </c>
      <c r="M10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0</v>
      </c>
      <c r="N100" s="53"/>
      <c r="O100" s="75" t="s">
        <v>533</v>
      </c>
      <c r="P100" s="75" t="s">
        <v>534</v>
      </c>
      <c r="Q100" s="75">
        <v>1</v>
      </c>
      <c r="R100" s="86">
        <v>42757</v>
      </c>
      <c r="S100" s="86">
        <f>Edges[[#This Row],[Start
Time]]+Edges[[#This Row],[Duración
(meses)]]*30</f>
        <v>46357</v>
      </c>
      <c r="T100" s="75">
        <v>120</v>
      </c>
      <c r="U100" s="76" t="s">
        <v>744</v>
      </c>
      <c r="V100" s="145"/>
      <c r="W100" s="145"/>
    </row>
    <row r="101" spans="1:23" x14ac:dyDescent="0.3">
      <c r="A101" s="67" t="s">
        <v>287</v>
      </c>
      <c r="B101" s="67" t="s">
        <v>228</v>
      </c>
      <c r="C101" s="68"/>
      <c r="D101" s="69"/>
      <c r="E101" s="68"/>
      <c r="F101" s="70"/>
      <c r="G101" s="68" t="s">
        <v>184</v>
      </c>
      <c r="H101" s="49"/>
      <c r="I101" s="50"/>
      <c r="J101" s="50"/>
      <c r="K101" s="51"/>
      <c r="L101" s="52">
        <v>101</v>
      </c>
      <c r="M10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0</v>
      </c>
      <c r="N101" s="53"/>
      <c r="O101" s="75" t="s">
        <v>533</v>
      </c>
      <c r="P101" s="75" t="s">
        <v>535</v>
      </c>
      <c r="Q101" s="75">
        <v>1</v>
      </c>
      <c r="R101" s="86">
        <v>42757</v>
      </c>
      <c r="S101" s="86">
        <f>Edges[[#This Row],[Start
Time]]+Edges[[#This Row],[Duración
(meses)]]*30</f>
        <v>46357</v>
      </c>
      <c r="T101" s="75">
        <v>120</v>
      </c>
      <c r="U101" s="76" t="s">
        <v>744</v>
      </c>
      <c r="V101" s="145"/>
      <c r="W101" s="145"/>
    </row>
    <row r="102" spans="1:23" x14ac:dyDescent="0.3">
      <c r="A102" s="67" t="s">
        <v>287</v>
      </c>
      <c r="B102" s="67" t="s">
        <v>207</v>
      </c>
      <c r="C102" s="68"/>
      <c r="D102" s="69"/>
      <c r="E102" s="68"/>
      <c r="F102" s="70"/>
      <c r="G102" s="68" t="s">
        <v>184</v>
      </c>
      <c r="H102" s="49"/>
      <c r="I102" s="50"/>
      <c r="J102" s="50"/>
      <c r="K102" s="51"/>
      <c r="L102" s="52">
        <v>102</v>
      </c>
      <c r="M10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0</v>
      </c>
      <c r="N102" s="53"/>
      <c r="O102" s="75" t="s">
        <v>533</v>
      </c>
      <c r="P102" s="75" t="s">
        <v>535</v>
      </c>
      <c r="Q102" s="75">
        <v>1</v>
      </c>
      <c r="R102" s="86">
        <v>42757</v>
      </c>
      <c r="S102" s="86">
        <f>Edges[[#This Row],[Start
Time]]+Edges[[#This Row],[Duración
(meses)]]*30</f>
        <v>46357</v>
      </c>
      <c r="T102" s="75">
        <v>120</v>
      </c>
      <c r="U102" s="76" t="s">
        <v>744</v>
      </c>
      <c r="V102" s="145"/>
      <c r="W102" s="145"/>
    </row>
    <row r="103" spans="1:23" x14ac:dyDescent="0.3">
      <c r="A103" s="67" t="s">
        <v>287</v>
      </c>
      <c r="B103" s="67" t="s">
        <v>289</v>
      </c>
      <c r="C103" s="68"/>
      <c r="D103" s="69"/>
      <c r="E103" s="68"/>
      <c r="F103" s="70"/>
      <c r="G103" s="68" t="s">
        <v>184</v>
      </c>
      <c r="H103" s="49"/>
      <c r="I103" s="50"/>
      <c r="J103" s="50"/>
      <c r="K103" s="51"/>
      <c r="L103" s="52">
        <v>103</v>
      </c>
      <c r="M10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0</v>
      </c>
      <c r="N103" s="53"/>
      <c r="O103" s="75" t="s">
        <v>533</v>
      </c>
      <c r="P103" s="75" t="s">
        <v>535</v>
      </c>
      <c r="Q103" s="75">
        <v>1</v>
      </c>
      <c r="R103" s="86">
        <v>42757</v>
      </c>
      <c r="S103" s="86">
        <f>Edges[[#This Row],[Start
Time]]+Edges[[#This Row],[Duración
(meses)]]*30</f>
        <v>46357</v>
      </c>
      <c r="T103" s="75">
        <v>120</v>
      </c>
      <c r="U103" s="76" t="s">
        <v>744</v>
      </c>
      <c r="V103" s="145"/>
      <c r="W103" s="145"/>
    </row>
    <row r="104" spans="1:23" x14ac:dyDescent="0.3">
      <c r="A104" s="67" t="s">
        <v>287</v>
      </c>
      <c r="B104" s="67" t="s">
        <v>290</v>
      </c>
      <c r="C104" s="68"/>
      <c r="D104" s="69"/>
      <c r="E104" s="68"/>
      <c r="F104" s="70"/>
      <c r="G104" s="68" t="s">
        <v>184</v>
      </c>
      <c r="H104" s="49"/>
      <c r="I104" s="50"/>
      <c r="J104" s="50"/>
      <c r="K104" s="51"/>
      <c r="L104" s="52">
        <v>104</v>
      </c>
      <c r="M10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0</v>
      </c>
      <c r="N104" s="53"/>
      <c r="O104" s="75" t="s">
        <v>533</v>
      </c>
      <c r="P104" s="75" t="s">
        <v>535</v>
      </c>
      <c r="Q104" s="75">
        <v>1</v>
      </c>
      <c r="R104" s="86">
        <v>42757</v>
      </c>
      <c r="S104" s="86">
        <f>Edges[[#This Row],[Start
Time]]+Edges[[#This Row],[Duración
(meses)]]*30</f>
        <v>46357</v>
      </c>
      <c r="T104" s="75">
        <v>120</v>
      </c>
      <c r="U104" s="76" t="s">
        <v>744</v>
      </c>
      <c r="V104" s="145"/>
      <c r="W104" s="145"/>
    </row>
    <row r="105" spans="1:23" x14ac:dyDescent="0.3">
      <c r="A105" s="67" t="s">
        <v>287</v>
      </c>
      <c r="B105" s="67" t="s">
        <v>245</v>
      </c>
      <c r="C105" s="68"/>
      <c r="D105" s="69"/>
      <c r="E105" s="68"/>
      <c r="F105" s="70"/>
      <c r="G105" s="68" t="s">
        <v>184</v>
      </c>
      <c r="H105" s="49"/>
      <c r="I105" s="50"/>
      <c r="J105" s="50"/>
      <c r="K105" s="51"/>
      <c r="L105" s="52">
        <v>105</v>
      </c>
      <c r="M10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0</v>
      </c>
      <c r="N105" s="53"/>
      <c r="O105" s="75" t="s">
        <v>533</v>
      </c>
      <c r="P105" s="75" t="s">
        <v>535</v>
      </c>
      <c r="Q105" s="75">
        <v>1</v>
      </c>
      <c r="R105" s="86">
        <v>42757</v>
      </c>
      <c r="S105" s="86">
        <f>Edges[[#This Row],[Start
Time]]+Edges[[#This Row],[Duración
(meses)]]*30</f>
        <v>46357</v>
      </c>
      <c r="T105" s="75">
        <v>120</v>
      </c>
      <c r="U105" s="76" t="s">
        <v>744</v>
      </c>
      <c r="V105" s="145"/>
      <c r="W105" s="145"/>
    </row>
    <row r="106" spans="1:23" x14ac:dyDescent="0.3">
      <c r="A106" s="67" t="s">
        <v>232</v>
      </c>
      <c r="B106" s="67" t="s">
        <v>234</v>
      </c>
      <c r="C106" s="68"/>
      <c r="D106" s="69"/>
      <c r="E106" s="68"/>
      <c r="F106" s="70"/>
      <c r="G106" s="68" t="s">
        <v>184</v>
      </c>
      <c r="H106" s="49"/>
      <c r="I106" s="50"/>
      <c r="J106" s="50"/>
      <c r="K106" s="51"/>
      <c r="L106" s="52">
        <v>106</v>
      </c>
      <c r="M10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06" s="53"/>
      <c r="O106" s="75" t="s">
        <v>475</v>
      </c>
      <c r="P106" s="75" t="s">
        <v>475</v>
      </c>
      <c r="Q106" s="75">
        <v>1</v>
      </c>
      <c r="R106" s="86">
        <v>42824</v>
      </c>
      <c r="S106" s="86">
        <f>EDATE(Edges[[#This Row],[Start
Time]],Edges[[#This Row],[Duración
(meses)]])</f>
        <v>43189</v>
      </c>
      <c r="T106" s="75">
        <v>12</v>
      </c>
      <c r="U106" s="76" t="s">
        <v>476</v>
      </c>
      <c r="V106" s="145"/>
      <c r="W106" s="145"/>
    </row>
    <row r="107" spans="1:23" x14ac:dyDescent="0.3">
      <c r="A107" s="67" t="s">
        <v>232</v>
      </c>
      <c r="B107" s="67" t="s">
        <v>296</v>
      </c>
      <c r="C107" s="68"/>
      <c r="D107" s="69"/>
      <c r="E107" s="68"/>
      <c r="F107" s="70"/>
      <c r="G107" s="68" t="s">
        <v>184</v>
      </c>
      <c r="H107" s="49"/>
      <c r="I107" s="50"/>
      <c r="J107" s="50"/>
      <c r="K107" s="51"/>
      <c r="L107" s="52">
        <v>107</v>
      </c>
      <c r="M10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07" s="53"/>
      <c r="O107" s="75" t="s">
        <v>475</v>
      </c>
      <c r="P107" s="75" t="s">
        <v>475</v>
      </c>
      <c r="Q107" s="75">
        <v>1</v>
      </c>
      <c r="R107" s="86">
        <v>42824</v>
      </c>
      <c r="S107" s="86">
        <f>EDATE(Edges[[#This Row],[Start
Time]],Edges[[#This Row],[Duración
(meses)]])</f>
        <v>43189</v>
      </c>
      <c r="T107" s="75">
        <v>12</v>
      </c>
      <c r="U107" s="76" t="s">
        <v>476</v>
      </c>
      <c r="V107" s="145"/>
      <c r="W107" s="145"/>
    </row>
    <row r="108" spans="1:23" x14ac:dyDescent="0.3">
      <c r="A108" s="67" t="s">
        <v>296</v>
      </c>
      <c r="B108" s="67" t="s">
        <v>297</v>
      </c>
      <c r="C108" s="68"/>
      <c r="D108" s="69"/>
      <c r="E108" s="68"/>
      <c r="F108" s="70"/>
      <c r="G108" s="68" t="s">
        <v>184</v>
      </c>
      <c r="H108" s="49"/>
      <c r="I108" s="50"/>
      <c r="J108" s="50"/>
      <c r="K108" s="51"/>
      <c r="L108" s="52">
        <v>108</v>
      </c>
      <c r="M10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08" s="53"/>
      <c r="O108" s="75" t="s">
        <v>475</v>
      </c>
      <c r="P108" s="75" t="s">
        <v>537</v>
      </c>
      <c r="Q108" s="75">
        <v>1</v>
      </c>
      <c r="R108" s="86">
        <v>42824</v>
      </c>
      <c r="S108" s="86">
        <f>EDATE(Edges[[#This Row],[Start
Time]],Edges[[#This Row],[Duración
(meses)]])</f>
        <v>43189</v>
      </c>
      <c r="T108" s="75">
        <v>12</v>
      </c>
      <c r="U108" s="76" t="s">
        <v>476</v>
      </c>
      <c r="V108" s="145"/>
      <c r="W108" s="145"/>
    </row>
    <row r="109" spans="1:23" x14ac:dyDescent="0.3">
      <c r="A109" s="67" t="s">
        <v>296</v>
      </c>
      <c r="B109" s="67" t="s">
        <v>298</v>
      </c>
      <c r="C109" s="68"/>
      <c r="D109" s="69"/>
      <c r="E109" s="68"/>
      <c r="F109" s="70"/>
      <c r="G109" s="68" t="s">
        <v>184</v>
      </c>
      <c r="H109" s="49"/>
      <c r="I109" s="50"/>
      <c r="J109" s="50"/>
      <c r="K109" s="51"/>
      <c r="L109" s="52">
        <v>109</v>
      </c>
      <c r="M10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09" s="53"/>
      <c r="O109" s="75" t="s">
        <v>475</v>
      </c>
      <c r="P109" s="75" t="s">
        <v>537</v>
      </c>
      <c r="Q109" s="75">
        <v>1</v>
      </c>
      <c r="R109" s="86">
        <v>42824</v>
      </c>
      <c r="S109" s="86">
        <f>EDATE(Edges[[#This Row],[Start
Time]],Edges[[#This Row],[Duración
(meses)]])</f>
        <v>43189</v>
      </c>
      <c r="T109" s="75">
        <v>12</v>
      </c>
      <c r="U109" s="76" t="s">
        <v>476</v>
      </c>
      <c r="V109" s="145"/>
      <c r="W109" s="145"/>
    </row>
    <row r="110" spans="1:23" x14ac:dyDescent="0.3">
      <c r="A110" s="67" t="s">
        <v>296</v>
      </c>
      <c r="B110" s="67" t="s">
        <v>291</v>
      </c>
      <c r="C110" s="68"/>
      <c r="D110" s="69"/>
      <c r="E110" s="68"/>
      <c r="F110" s="70"/>
      <c r="G110" s="68" t="s">
        <v>184</v>
      </c>
      <c r="H110" s="49"/>
      <c r="I110" s="50"/>
      <c r="J110" s="50"/>
      <c r="K110" s="51"/>
      <c r="L110" s="52">
        <v>110</v>
      </c>
      <c r="M11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0" s="53"/>
      <c r="O110" s="75" t="s">
        <v>475</v>
      </c>
      <c r="P110" s="75" t="s">
        <v>537</v>
      </c>
      <c r="Q110" s="75">
        <v>1</v>
      </c>
      <c r="R110" s="86">
        <v>42824</v>
      </c>
      <c r="S110" s="86">
        <f>EDATE(Edges[[#This Row],[Start
Time]],Edges[[#This Row],[Duración
(meses)]])</f>
        <v>43189</v>
      </c>
      <c r="T110" s="75">
        <v>12</v>
      </c>
      <c r="U110" s="76" t="s">
        <v>476</v>
      </c>
      <c r="V110" s="145"/>
      <c r="W110" s="145"/>
    </row>
    <row r="111" spans="1:23" x14ac:dyDescent="0.3">
      <c r="A111" s="67" t="s">
        <v>296</v>
      </c>
      <c r="B111" s="67" t="s">
        <v>299</v>
      </c>
      <c r="C111" s="68"/>
      <c r="D111" s="69"/>
      <c r="E111" s="68"/>
      <c r="F111" s="70"/>
      <c r="G111" s="68" t="s">
        <v>184</v>
      </c>
      <c r="H111" s="49"/>
      <c r="I111" s="50"/>
      <c r="J111" s="50"/>
      <c r="K111" s="51"/>
      <c r="L111" s="52">
        <v>111</v>
      </c>
      <c r="M11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1" s="53"/>
      <c r="O111" s="75" t="s">
        <v>475</v>
      </c>
      <c r="P111" s="75" t="s">
        <v>537</v>
      </c>
      <c r="Q111" s="75">
        <v>1</v>
      </c>
      <c r="R111" s="86">
        <v>42824</v>
      </c>
      <c r="S111" s="86">
        <f>EDATE(Edges[[#This Row],[Start
Time]],Edges[[#This Row],[Duración
(meses)]])</f>
        <v>43189</v>
      </c>
      <c r="T111" s="75">
        <v>12</v>
      </c>
      <c r="U111" s="76" t="s">
        <v>476</v>
      </c>
      <c r="V111" s="145"/>
      <c r="W111" s="145"/>
    </row>
    <row r="112" spans="1:23" x14ac:dyDescent="0.3">
      <c r="A112" s="67" t="s">
        <v>296</v>
      </c>
      <c r="B112" s="67" t="s">
        <v>300</v>
      </c>
      <c r="C112" s="68"/>
      <c r="D112" s="69"/>
      <c r="E112" s="68"/>
      <c r="F112" s="70"/>
      <c r="G112" s="68" t="s">
        <v>184</v>
      </c>
      <c r="H112" s="49"/>
      <c r="I112" s="50"/>
      <c r="J112" s="50"/>
      <c r="K112" s="51"/>
      <c r="L112" s="52">
        <v>112</v>
      </c>
      <c r="M11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2" s="53"/>
      <c r="O112" s="75" t="s">
        <v>475</v>
      </c>
      <c r="P112" s="75" t="s">
        <v>537</v>
      </c>
      <c r="Q112" s="75">
        <v>1</v>
      </c>
      <c r="R112" s="86">
        <v>42824</v>
      </c>
      <c r="S112" s="86">
        <f>EDATE(Edges[[#This Row],[Start
Time]],Edges[[#This Row],[Duración
(meses)]])</f>
        <v>43189</v>
      </c>
      <c r="T112" s="75">
        <v>12</v>
      </c>
      <c r="U112" s="76" t="s">
        <v>476</v>
      </c>
      <c r="V112" s="145"/>
      <c r="W112" s="145"/>
    </row>
    <row r="113" spans="1:23" x14ac:dyDescent="0.3">
      <c r="A113" s="67" t="s">
        <v>183</v>
      </c>
      <c r="B113" s="67" t="s">
        <v>197</v>
      </c>
      <c r="C113" s="68"/>
      <c r="D113" s="69"/>
      <c r="E113" s="68"/>
      <c r="F113" s="70"/>
      <c r="G113" s="68" t="s">
        <v>184</v>
      </c>
      <c r="H113" s="49"/>
      <c r="I113" s="50"/>
      <c r="J113" s="50"/>
      <c r="K113" s="51"/>
      <c r="L113" s="52">
        <v>113</v>
      </c>
      <c r="M11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3" s="53"/>
      <c r="O113" s="75" t="s">
        <v>397</v>
      </c>
      <c r="P113" s="75" t="s">
        <v>512</v>
      </c>
      <c r="Q113" s="75">
        <v>1</v>
      </c>
      <c r="R113" s="86">
        <v>42675</v>
      </c>
      <c r="S113" s="86">
        <v>43132</v>
      </c>
      <c r="T113" s="75">
        <v>15</v>
      </c>
      <c r="U113" s="76" t="s">
        <v>398</v>
      </c>
      <c r="V113" s="145"/>
      <c r="W113" s="145"/>
    </row>
    <row r="114" spans="1:23" x14ac:dyDescent="0.3">
      <c r="A114" s="67" t="s">
        <v>202</v>
      </c>
      <c r="B114" s="67" t="s">
        <v>259</v>
      </c>
      <c r="C114" s="68"/>
      <c r="D114" s="69"/>
      <c r="E114" s="68"/>
      <c r="F114" s="70"/>
      <c r="G114" s="68" t="s">
        <v>184</v>
      </c>
      <c r="H114" s="49"/>
      <c r="I114" s="50"/>
      <c r="J114" s="50"/>
      <c r="K114" s="51"/>
      <c r="L114" s="52">
        <v>114</v>
      </c>
      <c r="M11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4" s="53"/>
      <c r="O114" s="75" t="s">
        <v>424</v>
      </c>
      <c r="P114" s="75" t="s">
        <v>513</v>
      </c>
      <c r="Q114" s="75">
        <v>1</v>
      </c>
      <c r="R114" s="86">
        <v>42675</v>
      </c>
      <c r="S114" s="86">
        <v>43040</v>
      </c>
      <c r="T114" s="75">
        <v>12</v>
      </c>
      <c r="U114" s="76" t="s">
        <v>425</v>
      </c>
      <c r="V114" s="145"/>
      <c r="W114" s="145"/>
    </row>
    <row r="115" spans="1:23" x14ac:dyDescent="0.3">
      <c r="A115" s="67" t="s">
        <v>182</v>
      </c>
      <c r="B115" s="67" t="s">
        <v>183</v>
      </c>
      <c r="C115" s="68"/>
      <c r="D115" s="69"/>
      <c r="E115" s="68"/>
      <c r="F115" s="70"/>
      <c r="G115" s="68" t="s">
        <v>184</v>
      </c>
      <c r="H115" s="49"/>
      <c r="I115" s="50"/>
      <c r="J115" s="50"/>
      <c r="K115" s="51"/>
      <c r="L115" s="52">
        <v>115</v>
      </c>
      <c r="M11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5" s="53"/>
      <c r="O115" s="75" t="s">
        <v>397</v>
      </c>
      <c r="P115" s="75" t="s">
        <v>397</v>
      </c>
      <c r="Q115" s="75">
        <v>1</v>
      </c>
      <c r="R115" s="86">
        <v>42675</v>
      </c>
      <c r="S115" s="86">
        <v>43132</v>
      </c>
      <c r="T115" s="75">
        <v>15</v>
      </c>
      <c r="U115" s="76" t="s">
        <v>398</v>
      </c>
      <c r="V115" s="145"/>
      <c r="W115" s="145"/>
    </row>
    <row r="116" spans="1:23" x14ac:dyDescent="0.3">
      <c r="A116" s="67" t="s">
        <v>182</v>
      </c>
      <c r="B116" s="67" t="s">
        <v>202</v>
      </c>
      <c r="C116" s="68"/>
      <c r="D116" s="69"/>
      <c r="E116" s="68"/>
      <c r="F116" s="70"/>
      <c r="G116" s="68" t="s">
        <v>184</v>
      </c>
      <c r="H116" s="49"/>
      <c r="I116" s="50"/>
      <c r="J116" s="50"/>
      <c r="K116" s="51"/>
      <c r="L116" s="52">
        <v>116</v>
      </c>
      <c r="M11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6" s="53"/>
      <c r="O116" s="75" t="s">
        <v>424</v>
      </c>
      <c r="P116" s="75" t="s">
        <v>424</v>
      </c>
      <c r="Q116" s="75">
        <v>1</v>
      </c>
      <c r="R116" s="86">
        <v>42675</v>
      </c>
      <c r="S116" s="86">
        <v>43040</v>
      </c>
      <c r="T116" s="75">
        <v>12</v>
      </c>
      <c r="U116" s="76" t="s">
        <v>425</v>
      </c>
      <c r="V116" s="145"/>
      <c r="W116" s="145"/>
    </row>
    <row r="117" spans="1:23" x14ac:dyDescent="0.3">
      <c r="A117" s="67" t="s">
        <v>182</v>
      </c>
      <c r="B117" s="67" t="s">
        <v>205</v>
      </c>
      <c r="C117" s="68"/>
      <c r="D117" s="69"/>
      <c r="E117" s="68"/>
      <c r="F117" s="70"/>
      <c r="G117" s="68" t="s">
        <v>184</v>
      </c>
      <c r="H117" s="49"/>
      <c r="I117" s="50"/>
      <c r="J117" s="50"/>
      <c r="K117" s="51"/>
      <c r="L117" s="52">
        <v>117</v>
      </c>
      <c r="M11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7" s="53"/>
      <c r="O117" s="75" t="s">
        <v>430</v>
      </c>
      <c r="P117" s="75" t="s">
        <v>430</v>
      </c>
      <c r="Q117" s="75">
        <v>1</v>
      </c>
      <c r="R117" s="86">
        <v>42675</v>
      </c>
      <c r="S117" s="86">
        <v>43405</v>
      </c>
      <c r="T117" s="75">
        <v>24</v>
      </c>
      <c r="U117" s="76" t="s">
        <v>431</v>
      </c>
      <c r="V117" s="145"/>
      <c r="W117" s="145"/>
    </row>
    <row r="118" spans="1:23" x14ac:dyDescent="0.3">
      <c r="A118" s="67" t="s">
        <v>188</v>
      </c>
      <c r="B118" s="67" t="s">
        <v>195</v>
      </c>
      <c r="C118" s="68"/>
      <c r="D118" s="69"/>
      <c r="E118" s="68"/>
      <c r="F118" s="70"/>
      <c r="G118" s="68" t="s">
        <v>184</v>
      </c>
      <c r="H118" s="49"/>
      <c r="I118" s="50"/>
      <c r="J118" s="50"/>
      <c r="K118" s="51"/>
      <c r="L118" s="52">
        <v>118</v>
      </c>
      <c r="M11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8" s="53"/>
      <c r="O118" s="75" t="s">
        <v>412</v>
      </c>
      <c r="P118" s="75" t="s">
        <v>412</v>
      </c>
      <c r="Q118" s="75">
        <v>1</v>
      </c>
      <c r="R118" s="86">
        <v>42675</v>
      </c>
      <c r="S118" s="86">
        <v>43040</v>
      </c>
      <c r="T118" s="75">
        <v>12</v>
      </c>
      <c r="U118" s="76" t="s">
        <v>413</v>
      </c>
      <c r="V118" s="145"/>
      <c r="W118" s="145"/>
    </row>
    <row r="119" spans="1:23" x14ac:dyDescent="0.3">
      <c r="A119" s="67" t="s">
        <v>205</v>
      </c>
      <c r="B119" s="67" t="s">
        <v>260</v>
      </c>
      <c r="C119" s="68"/>
      <c r="D119" s="69"/>
      <c r="E119" s="68"/>
      <c r="F119" s="70"/>
      <c r="G119" s="68" t="s">
        <v>184</v>
      </c>
      <c r="H119" s="49"/>
      <c r="I119" s="50"/>
      <c r="J119" s="50"/>
      <c r="K119" s="51"/>
      <c r="L119" s="52">
        <v>119</v>
      </c>
      <c r="M11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19" s="53"/>
      <c r="O119" s="75" t="s">
        <v>424</v>
      </c>
      <c r="P119" s="75" t="s">
        <v>514</v>
      </c>
      <c r="Q119" s="75">
        <v>1</v>
      </c>
      <c r="R119" s="86">
        <v>42675</v>
      </c>
      <c r="S119" s="86">
        <v>43405</v>
      </c>
      <c r="T119" s="75">
        <v>24</v>
      </c>
      <c r="U119" s="76" t="s">
        <v>425</v>
      </c>
      <c r="V119" s="145"/>
      <c r="W119" s="145"/>
    </row>
    <row r="120" spans="1:23" x14ac:dyDescent="0.3">
      <c r="A120" s="67" t="s">
        <v>209</v>
      </c>
      <c r="B120" s="67" t="s">
        <v>210</v>
      </c>
      <c r="C120" s="68"/>
      <c r="D120" s="69"/>
      <c r="E120" s="68"/>
      <c r="F120" s="70"/>
      <c r="G120" s="68" t="s">
        <v>184</v>
      </c>
      <c r="H120" s="49"/>
      <c r="I120" s="50"/>
      <c r="J120" s="50"/>
      <c r="K120" s="51"/>
      <c r="L120" s="52">
        <v>120</v>
      </c>
      <c r="M12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0</v>
      </c>
      <c r="N120" s="53"/>
      <c r="O120" s="75" t="s">
        <v>438</v>
      </c>
      <c r="P120" s="75" t="s">
        <v>438</v>
      </c>
      <c r="Q120" s="75">
        <v>1</v>
      </c>
      <c r="R120" s="86">
        <v>42701</v>
      </c>
      <c r="S120" s="86">
        <f>EDATE(Edges[[#This Row],[Start
Time]],Edges[[#This Row],[Duración
(meses)]])</f>
        <v>46353</v>
      </c>
      <c r="T120" s="75">
        <v>120</v>
      </c>
      <c r="U120" s="76" t="s">
        <v>439</v>
      </c>
      <c r="V120" s="145"/>
      <c r="W120" s="145"/>
    </row>
    <row r="121" spans="1:23" x14ac:dyDescent="0.3">
      <c r="A121" s="67" t="s">
        <v>214</v>
      </c>
      <c r="B121" s="67" t="s">
        <v>238</v>
      </c>
      <c r="C121" s="68"/>
      <c r="D121" s="69"/>
      <c r="E121" s="68"/>
      <c r="F121" s="70"/>
      <c r="G121" s="68" t="s">
        <v>184</v>
      </c>
      <c r="H121" s="49"/>
      <c r="I121" s="50"/>
      <c r="J121" s="50"/>
      <c r="K121" s="51"/>
      <c r="L121" s="52">
        <v>121</v>
      </c>
      <c r="M12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1" s="53"/>
      <c r="O121" s="75" t="s">
        <v>491</v>
      </c>
      <c r="P121" s="75" t="s">
        <v>491</v>
      </c>
      <c r="Q121" s="75">
        <v>1</v>
      </c>
      <c r="R121" s="86">
        <v>42705</v>
      </c>
      <c r="S121" s="86">
        <v>44531</v>
      </c>
      <c r="T121" s="75">
        <v>60</v>
      </c>
      <c r="U121" s="76" t="s">
        <v>492</v>
      </c>
      <c r="V121" s="145"/>
      <c r="W121" s="145"/>
    </row>
    <row r="122" spans="1:23" x14ac:dyDescent="0.3">
      <c r="A122" s="67" t="s">
        <v>214</v>
      </c>
      <c r="B122" s="67" t="s">
        <v>215</v>
      </c>
      <c r="C122" s="68"/>
      <c r="D122" s="69"/>
      <c r="E122" s="68"/>
      <c r="F122" s="70"/>
      <c r="G122" s="68" t="s">
        <v>184</v>
      </c>
      <c r="H122" s="49"/>
      <c r="I122" s="50"/>
      <c r="J122" s="50"/>
      <c r="K122" s="51"/>
      <c r="L122" s="52">
        <v>122</v>
      </c>
      <c r="M12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2" s="53"/>
      <c r="O122" s="75" t="s">
        <v>443</v>
      </c>
      <c r="P122" s="75" t="s">
        <v>443</v>
      </c>
      <c r="Q122" s="75">
        <v>1</v>
      </c>
      <c r="R122" s="86">
        <v>42705</v>
      </c>
      <c r="S122" s="86">
        <v>44531</v>
      </c>
      <c r="T122" s="75">
        <v>60</v>
      </c>
      <c r="U122" s="76" t="s">
        <v>444</v>
      </c>
      <c r="V122" s="145"/>
      <c r="W122" s="145"/>
    </row>
    <row r="123" spans="1:23" x14ac:dyDescent="0.3">
      <c r="A123" s="67" t="s">
        <v>215</v>
      </c>
      <c r="B123" s="67" t="s">
        <v>212</v>
      </c>
      <c r="C123" s="68"/>
      <c r="D123" s="69"/>
      <c r="E123" s="68"/>
      <c r="F123" s="70"/>
      <c r="G123" s="68" t="s">
        <v>184</v>
      </c>
      <c r="H123" s="49"/>
      <c r="I123" s="50"/>
      <c r="J123" s="50"/>
      <c r="K123" s="51"/>
      <c r="L123" s="52">
        <v>123</v>
      </c>
      <c r="M12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3" s="53"/>
      <c r="O123" s="75" t="s">
        <v>443</v>
      </c>
      <c r="P123" s="75" t="s">
        <v>443</v>
      </c>
      <c r="Q123" s="75">
        <v>1</v>
      </c>
      <c r="R123" s="86">
        <v>42705</v>
      </c>
      <c r="S123" s="86">
        <v>44531</v>
      </c>
      <c r="T123" s="75">
        <v>60</v>
      </c>
      <c r="U123" s="76" t="s">
        <v>444</v>
      </c>
      <c r="V123" s="145"/>
      <c r="W123" s="145"/>
    </row>
    <row r="124" spans="1:23" x14ac:dyDescent="0.3">
      <c r="A124" s="67" t="s">
        <v>215</v>
      </c>
      <c r="B124" s="67" t="s">
        <v>272</v>
      </c>
      <c r="C124" s="68"/>
      <c r="D124" s="69"/>
      <c r="E124" s="68"/>
      <c r="F124" s="70"/>
      <c r="G124" s="68" t="s">
        <v>184</v>
      </c>
      <c r="H124" s="49"/>
      <c r="I124" s="50"/>
      <c r="J124" s="50"/>
      <c r="K124" s="51"/>
      <c r="L124" s="52">
        <v>124</v>
      </c>
      <c r="M12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4" s="53"/>
      <c r="O124" s="75" t="s">
        <v>443</v>
      </c>
      <c r="P124" s="75" t="s">
        <v>525</v>
      </c>
      <c r="Q124" s="75">
        <v>1</v>
      </c>
      <c r="R124" s="86">
        <v>42705</v>
      </c>
      <c r="S124" s="86">
        <v>44531</v>
      </c>
      <c r="T124" s="75">
        <v>60</v>
      </c>
      <c r="U124" s="76" t="s">
        <v>444</v>
      </c>
      <c r="V124" s="145"/>
      <c r="W124" s="145"/>
    </row>
    <row r="125" spans="1:23" x14ac:dyDescent="0.3">
      <c r="A125" s="67" t="s">
        <v>215</v>
      </c>
      <c r="B125" s="67" t="s">
        <v>273</v>
      </c>
      <c r="C125" s="68"/>
      <c r="D125" s="69"/>
      <c r="E125" s="68"/>
      <c r="F125" s="70"/>
      <c r="G125" s="68" t="s">
        <v>184</v>
      </c>
      <c r="H125" s="49"/>
      <c r="I125" s="50"/>
      <c r="J125" s="50"/>
      <c r="K125" s="51"/>
      <c r="L125" s="52">
        <v>125</v>
      </c>
      <c r="M12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5" s="53"/>
      <c r="O125" s="75" t="s">
        <v>443</v>
      </c>
      <c r="P125" s="75" t="s">
        <v>525</v>
      </c>
      <c r="Q125" s="75">
        <v>1</v>
      </c>
      <c r="R125" s="86">
        <v>42705</v>
      </c>
      <c r="S125" s="86">
        <v>44531</v>
      </c>
      <c r="T125" s="75">
        <v>60</v>
      </c>
      <c r="U125" s="76" t="s">
        <v>444</v>
      </c>
      <c r="V125" s="145"/>
      <c r="W125" s="145"/>
    </row>
    <row r="126" spans="1:23" x14ac:dyDescent="0.3">
      <c r="A126" s="67" t="s">
        <v>215</v>
      </c>
      <c r="B126" s="67" t="s">
        <v>274</v>
      </c>
      <c r="C126" s="68"/>
      <c r="D126" s="69"/>
      <c r="E126" s="68"/>
      <c r="F126" s="70"/>
      <c r="G126" s="68" t="s">
        <v>184</v>
      </c>
      <c r="H126" s="49"/>
      <c r="I126" s="50"/>
      <c r="J126" s="50"/>
      <c r="K126" s="51"/>
      <c r="L126" s="52">
        <v>126</v>
      </c>
      <c r="M12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6" s="53"/>
      <c r="O126" s="75" t="s">
        <v>443</v>
      </c>
      <c r="P126" s="75" t="s">
        <v>525</v>
      </c>
      <c r="Q126" s="75">
        <v>1</v>
      </c>
      <c r="R126" s="86">
        <v>42705</v>
      </c>
      <c r="S126" s="86">
        <v>44531</v>
      </c>
      <c r="T126" s="75">
        <v>60</v>
      </c>
      <c r="U126" s="76" t="s">
        <v>444</v>
      </c>
      <c r="V126" s="145"/>
      <c r="W126" s="145"/>
    </row>
    <row r="127" spans="1:23" x14ac:dyDescent="0.3">
      <c r="A127" s="67" t="s">
        <v>215</v>
      </c>
      <c r="B127" s="67" t="s">
        <v>213</v>
      </c>
      <c r="C127" s="68"/>
      <c r="D127" s="69"/>
      <c r="E127" s="68"/>
      <c r="F127" s="70"/>
      <c r="G127" s="68" t="s">
        <v>184</v>
      </c>
      <c r="H127" s="49"/>
      <c r="I127" s="50"/>
      <c r="J127" s="50"/>
      <c r="K127" s="51"/>
      <c r="L127" s="52">
        <v>127</v>
      </c>
      <c r="M12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7" s="53"/>
      <c r="O127" s="75" t="s">
        <v>443</v>
      </c>
      <c r="P127" s="75" t="s">
        <v>526</v>
      </c>
      <c r="Q127" s="75">
        <v>1</v>
      </c>
      <c r="R127" s="86">
        <v>42705</v>
      </c>
      <c r="S127" s="86">
        <v>44531</v>
      </c>
      <c r="T127" s="75">
        <v>60</v>
      </c>
      <c r="U127" s="76" t="s">
        <v>444</v>
      </c>
      <c r="V127" s="145"/>
      <c r="W127" s="145"/>
    </row>
    <row r="128" spans="1:23" x14ac:dyDescent="0.3">
      <c r="A128" s="67" t="s">
        <v>215</v>
      </c>
      <c r="B128" s="67" t="s">
        <v>275</v>
      </c>
      <c r="C128" s="68"/>
      <c r="D128" s="69"/>
      <c r="E128" s="68"/>
      <c r="F128" s="70"/>
      <c r="G128" s="68" t="s">
        <v>184</v>
      </c>
      <c r="H128" s="49"/>
      <c r="I128" s="50"/>
      <c r="J128" s="50"/>
      <c r="K128" s="51"/>
      <c r="L128" s="52">
        <v>128</v>
      </c>
      <c r="M12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8" s="53"/>
      <c r="O128" s="75" t="s">
        <v>443</v>
      </c>
      <c r="P128" s="75" t="s">
        <v>526</v>
      </c>
      <c r="Q128" s="75">
        <v>1</v>
      </c>
      <c r="R128" s="86">
        <v>42705</v>
      </c>
      <c r="S128" s="86">
        <v>44531</v>
      </c>
      <c r="T128" s="75">
        <v>60</v>
      </c>
      <c r="U128" s="76" t="s">
        <v>444</v>
      </c>
      <c r="V128" s="145"/>
      <c r="W128" s="145"/>
    </row>
    <row r="129" spans="1:23" x14ac:dyDescent="0.3">
      <c r="A129" s="67" t="s">
        <v>215</v>
      </c>
      <c r="B129" s="67" t="s">
        <v>200</v>
      </c>
      <c r="C129" s="68"/>
      <c r="D129" s="69"/>
      <c r="E129" s="68"/>
      <c r="F129" s="70"/>
      <c r="G129" s="68" t="s">
        <v>184</v>
      </c>
      <c r="H129" s="49"/>
      <c r="I129" s="50"/>
      <c r="J129" s="50"/>
      <c r="K129" s="51"/>
      <c r="L129" s="52">
        <v>129</v>
      </c>
      <c r="M12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29" s="53"/>
      <c r="O129" s="75" t="s">
        <v>443</v>
      </c>
      <c r="P129" s="75" t="s">
        <v>526</v>
      </c>
      <c r="Q129" s="75">
        <v>1</v>
      </c>
      <c r="R129" s="86">
        <v>42705</v>
      </c>
      <c r="S129" s="86">
        <v>44531</v>
      </c>
      <c r="T129" s="75">
        <v>60</v>
      </c>
      <c r="U129" s="76" t="s">
        <v>444</v>
      </c>
      <c r="V129" s="145"/>
      <c r="W129" s="145"/>
    </row>
    <row r="130" spans="1:23" x14ac:dyDescent="0.3">
      <c r="A130" s="67" t="s">
        <v>215</v>
      </c>
      <c r="B130" s="67" t="s">
        <v>263</v>
      </c>
      <c r="C130" s="68"/>
      <c r="D130" s="69"/>
      <c r="E130" s="68"/>
      <c r="F130" s="70"/>
      <c r="G130" s="68" t="s">
        <v>184</v>
      </c>
      <c r="H130" s="49"/>
      <c r="I130" s="50"/>
      <c r="J130" s="50"/>
      <c r="K130" s="51"/>
      <c r="L130" s="52">
        <v>130</v>
      </c>
      <c r="M13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0" s="53"/>
      <c r="O130" s="75" t="s">
        <v>443</v>
      </c>
      <c r="P130" s="75" t="s">
        <v>526</v>
      </c>
      <c r="Q130" s="75">
        <v>1</v>
      </c>
      <c r="R130" s="86">
        <v>42705</v>
      </c>
      <c r="S130" s="86">
        <v>44531</v>
      </c>
      <c r="T130" s="75">
        <v>60</v>
      </c>
      <c r="U130" s="76" t="s">
        <v>444</v>
      </c>
      <c r="V130" s="145"/>
      <c r="W130" s="145"/>
    </row>
    <row r="131" spans="1:23" x14ac:dyDescent="0.3">
      <c r="A131" s="67" t="s">
        <v>215</v>
      </c>
      <c r="B131" s="67" t="s">
        <v>276</v>
      </c>
      <c r="C131" s="68"/>
      <c r="D131" s="69"/>
      <c r="E131" s="68"/>
      <c r="F131" s="70"/>
      <c r="G131" s="68" t="s">
        <v>184</v>
      </c>
      <c r="H131" s="49"/>
      <c r="I131" s="50"/>
      <c r="J131" s="50"/>
      <c r="K131" s="51"/>
      <c r="L131" s="52">
        <v>131</v>
      </c>
      <c r="M13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1" s="53"/>
      <c r="O131" s="75" t="s">
        <v>443</v>
      </c>
      <c r="P131" s="75" t="s">
        <v>526</v>
      </c>
      <c r="Q131" s="75">
        <v>1</v>
      </c>
      <c r="R131" s="86">
        <v>42705</v>
      </c>
      <c r="S131" s="86">
        <v>44531</v>
      </c>
      <c r="T131" s="75">
        <v>60</v>
      </c>
      <c r="U131" s="76" t="s">
        <v>444</v>
      </c>
      <c r="V131" s="145"/>
      <c r="W131" s="145"/>
    </row>
    <row r="132" spans="1:23" x14ac:dyDescent="0.3">
      <c r="A132" s="67" t="s">
        <v>215</v>
      </c>
      <c r="B132" s="67" t="s">
        <v>277</v>
      </c>
      <c r="C132" s="68"/>
      <c r="D132" s="69"/>
      <c r="E132" s="68"/>
      <c r="F132" s="70"/>
      <c r="G132" s="68" t="s">
        <v>184</v>
      </c>
      <c r="H132" s="49"/>
      <c r="I132" s="50"/>
      <c r="J132" s="50"/>
      <c r="K132" s="51"/>
      <c r="L132" s="52">
        <v>132</v>
      </c>
      <c r="M13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2" s="53"/>
      <c r="O132" s="75" t="s">
        <v>443</v>
      </c>
      <c r="P132" s="75" t="s">
        <v>526</v>
      </c>
      <c r="Q132" s="75">
        <v>1</v>
      </c>
      <c r="R132" s="86">
        <v>42705</v>
      </c>
      <c r="S132" s="86">
        <v>44531</v>
      </c>
      <c r="T132" s="75">
        <v>60</v>
      </c>
      <c r="U132" s="76" t="s">
        <v>444</v>
      </c>
      <c r="V132" s="145"/>
      <c r="W132" s="145"/>
    </row>
    <row r="133" spans="1:23" x14ac:dyDescent="0.3">
      <c r="A133" s="67" t="s">
        <v>215</v>
      </c>
      <c r="B133" s="67" t="s">
        <v>278</v>
      </c>
      <c r="C133" s="68"/>
      <c r="D133" s="69"/>
      <c r="E133" s="68"/>
      <c r="F133" s="70"/>
      <c r="G133" s="68" t="s">
        <v>184</v>
      </c>
      <c r="H133" s="49"/>
      <c r="I133" s="50"/>
      <c r="J133" s="50"/>
      <c r="K133" s="51"/>
      <c r="L133" s="52">
        <v>133</v>
      </c>
      <c r="M13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3" s="53"/>
      <c r="O133" s="75" t="s">
        <v>443</v>
      </c>
      <c r="P133" s="75" t="s">
        <v>527</v>
      </c>
      <c r="Q133" s="75">
        <v>1</v>
      </c>
      <c r="R133" s="86">
        <v>42705</v>
      </c>
      <c r="S133" s="86">
        <v>44531</v>
      </c>
      <c r="T133" s="75">
        <v>60</v>
      </c>
      <c r="U133" s="76" t="s">
        <v>444</v>
      </c>
      <c r="V133" s="145"/>
      <c r="W133" s="145"/>
    </row>
    <row r="134" spans="1:23" x14ac:dyDescent="0.3">
      <c r="A134" s="67" t="s">
        <v>215</v>
      </c>
      <c r="B134" s="67" t="s">
        <v>279</v>
      </c>
      <c r="C134" s="68"/>
      <c r="D134" s="69"/>
      <c r="E134" s="68"/>
      <c r="F134" s="70"/>
      <c r="G134" s="68" t="s">
        <v>184</v>
      </c>
      <c r="H134" s="49"/>
      <c r="I134" s="50"/>
      <c r="J134" s="50"/>
      <c r="K134" s="51"/>
      <c r="L134" s="52">
        <v>134</v>
      </c>
      <c r="M13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4" s="53"/>
      <c r="O134" s="75" t="s">
        <v>443</v>
      </c>
      <c r="P134" s="75" t="s">
        <v>527</v>
      </c>
      <c r="Q134" s="75">
        <v>1</v>
      </c>
      <c r="R134" s="86">
        <v>42705</v>
      </c>
      <c r="S134" s="86">
        <v>44531</v>
      </c>
      <c r="T134" s="75">
        <v>60</v>
      </c>
      <c r="U134" s="76" t="s">
        <v>444</v>
      </c>
      <c r="V134" s="145"/>
      <c r="W134" s="145"/>
    </row>
    <row r="135" spans="1:23" x14ac:dyDescent="0.3">
      <c r="A135" s="67" t="s">
        <v>215</v>
      </c>
      <c r="B135" s="67" t="s">
        <v>280</v>
      </c>
      <c r="C135" s="68"/>
      <c r="D135" s="69"/>
      <c r="E135" s="68"/>
      <c r="F135" s="70"/>
      <c r="G135" s="68" t="s">
        <v>184</v>
      </c>
      <c r="H135" s="49"/>
      <c r="I135" s="50"/>
      <c r="J135" s="50"/>
      <c r="K135" s="51"/>
      <c r="L135" s="52">
        <v>135</v>
      </c>
      <c r="M13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5" s="53"/>
      <c r="O135" s="75" t="s">
        <v>443</v>
      </c>
      <c r="P135" s="75" t="s">
        <v>527</v>
      </c>
      <c r="Q135" s="75">
        <v>1</v>
      </c>
      <c r="R135" s="86">
        <v>42705</v>
      </c>
      <c r="S135" s="86">
        <v>44531</v>
      </c>
      <c r="T135" s="75">
        <v>60</v>
      </c>
      <c r="U135" s="76" t="s">
        <v>444</v>
      </c>
      <c r="V135" s="145"/>
      <c r="W135" s="145"/>
    </row>
    <row r="136" spans="1:23" x14ac:dyDescent="0.3">
      <c r="A136" s="67" t="s">
        <v>238</v>
      </c>
      <c r="B136" s="67" t="s">
        <v>234</v>
      </c>
      <c r="C136" s="68"/>
      <c r="D136" s="69"/>
      <c r="E136" s="68"/>
      <c r="F136" s="70"/>
      <c r="G136" s="68" t="s">
        <v>184</v>
      </c>
      <c r="H136" s="49"/>
      <c r="I136" s="50"/>
      <c r="J136" s="50"/>
      <c r="K136" s="51"/>
      <c r="L136" s="52">
        <v>136</v>
      </c>
      <c r="M13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6" s="53"/>
      <c r="O136" s="75" t="s">
        <v>491</v>
      </c>
      <c r="P136" s="75" t="s">
        <v>491</v>
      </c>
      <c r="Q136" s="75">
        <v>1</v>
      </c>
      <c r="R136" s="86">
        <v>42705</v>
      </c>
      <c r="S136" s="86">
        <v>44531</v>
      </c>
      <c r="T136" s="75">
        <v>60</v>
      </c>
      <c r="U136" s="76" t="s">
        <v>492</v>
      </c>
      <c r="V136" s="145"/>
      <c r="W136" s="145"/>
    </row>
    <row r="137" spans="1:23" x14ac:dyDescent="0.3">
      <c r="A137" s="67" t="s">
        <v>238</v>
      </c>
      <c r="B137" s="67" t="s">
        <v>267</v>
      </c>
      <c r="C137" s="68"/>
      <c r="D137" s="69"/>
      <c r="E137" s="68"/>
      <c r="F137" s="70"/>
      <c r="G137" s="68" t="s">
        <v>184</v>
      </c>
      <c r="H137" s="49"/>
      <c r="I137" s="50"/>
      <c r="J137" s="50"/>
      <c r="K137" s="51"/>
      <c r="L137" s="52">
        <v>137</v>
      </c>
      <c r="M13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7" s="53"/>
      <c r="O137" s="75" t="s">
        <v>491</v>
      </c>
      <c r="P137" s="75" t="s">
        <v>522</v>
      </c>
      <c r="Q137" s="75">
        <v>1</v>
      </c>
      <c r="R137" s="86">
        <v>42705</v>
      </c>
      <c r="S137" s="86">
        <v>44531</v>
      </c>
      <c r="T137" s="75">
        <v>60</v>
      </c>
      <c r="U137" s="76" t="s">
        <v>492</v>
      </c>
      <c r="V137" s="145"/>
      <c r="W137" s="145"/>
    </row>
    <row r="138" spans="1:23" x14ac:dyDescent="0.3">
      <c r="A138" s="67" t="s">
        <v>238</v>
      </c>
      <c r="B138" s="67" t="s">
        <v>250</v>
      </c>
      <c r="C138" s="68"/>
      <c r="D138" s="69"/>
      <c r="E138" s="68"/>
      <c r="F138" s="70"/>
      <c r="G138" s="68" t="s">
        <v>184</v>
      </c>
      <c r="H138" s="49"/>
      <c r="I138" s="50"/>
      <c r="J138" s="50"/>
      <c r="K138" s="51"/>
      <c r="L138" s="52">
        <v>138</v>
      </c>
      <c r="M13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8" s="53"/>
      <c r="O138" s="75" t="s">
        <v>491</v>
      </c>
      <c r="P138" s="75" t="s">
        <v>522</v>
      </c>
      <c r="Q138" s="75">
        <v>1</v>
      </c>
      <c r="R138" s="86">
        <v>42705</v>
      </c>
      <c r="S138" s="86">
        <v>44531</v>
      </c>
      <c r="T138" s="75">
        <v>60</v>
      </c>
      <c r="U138" s="76" t="s">
        <v>492</v>
      </c>
      <c r="V138" s="145"/>
      <c r="W138" s="145"/>
    </row>
    <row r="139" spans="1:23" x14ac:dyDescent="0.3">
      <c r="A139" s="67" t="s">
        <v>238</v>
      </c>
      <c r="B139" s="67" t="s">
        <v>257</v>
      </c>
      <c r="C139" s="68"/>
      <c r="D139" s="69"/>
      <c r="E139" s="68"/>
      <c r="F139" s="70"/>
      <c r="G139" s="68" t="s">
        <v>184</v>
      </c>
      <c r="H139" s="49"/>
      <c r="I139" s="50"/>
      <c r="J139" s="50"/>
      <c r="K139" s="51"/>
      <c r="L139" s="52">
        <v>139</v>
      </c>
      <c r="M13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39" s="53"/>
      <c r="O139" s="75" t="s">
        <v>491</v>
      </c>
      <c r="P139" s="75" t="s">
        <v>523</v>
      </c>
      <c r="Q139" s="75">
        <v>1</v>
      </c>
      <c r="R139" s="86">
        <v>42705</v>
      </c>
      <c r="S139" s="86">
        <v>44531</v>
      </c>
      <c r="T139" s="75">
        <v>60</v>
      </c>
      <c r="U139" s="76" t="s">
        <v>492</v>
      </c>
      <c r="V139" s="145"/>
      <c r="W139" s="145"/>
    </row>
    <row r="140" spans="1:23" x14ac:dyDescent="0.3">
      <c r="A140" s="67" t="s">
        <v>238</v>
      </c>
      <c r="B140" s="67" t="s">
        <v>220</v>
      </c>
      <c r="C140" s="68"/>
      <c r="D140" s="69"/>
      <c r="E140" s="68"/>
      <c r="F140" s="70"/>
      <c r="G140" s="68" t="s">
        <v>184</v>
      </c>
      <c r="H140" s="49"/>
      <c r="I140" s="50"/>
      <c r="J140" s="50"/>
      <c r="K140" s="51"/>
      <c r="L140" s="52">
        <v>140</v>
      </c>
      <c r="M14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0" s="53"/>
      <c r="O140" s="75" t="s">
        <v>491</v>
      </c>
      <c r="P140" s="75" t="s">
        <v>523</v>
      </c>
      <c r="Q140" s="75">
        <v>1</v>
      </c>
      <c r="R140" s="86">
        <v>42705</v>
      </c>
      <c r="S140" s="86">
        <v>44531</v>
      </c>
      <c r="T140" s="75">
        <v>60</v>
      </c>
      <c r="U140" s="76" t="s">
        <v>492</v>
      </c>
      <c r="V140" s="145"/>
      <c r="W140" s="145"/>
    </row>
    <row r="141" spans="1:23" x14ac:dyDescent="0.3">
      <c r="A141" s="67" t="s">
        <v>238</v>
      </c>
      <c r="B141" s="67" t="s">
        <v>246</v>
      </c>
      <c r="C141" s="68"/>
      <c r="D141" s="69"/>
      <c r="E141" s="68"/>
      <c r="F141" s="70"/>
      <c r="G141" s="68" t="s">
        <v>184</v>
      </c>
      <c r="H141" s="49"/>
      <c r="I141" s="50"/>
      <c r="J141" s="50"/>
      <c r="K141" s="51"/>
      <c r="L141" s="52">
        <v>141</v>
      </c>
      <c r="M14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1" s="53"/>
      <c r="O141" s="75" t="s">
        <v>491</v>
      </c>
      <c r="P141" s="75" t="s">
        <v>523</v>
      </c>
      <c r="Q141" s="75">
        <v>1</v>
      </c>
      <c r="R141" s="86">
        <v>42705</v>
      </c>
      <c r="S141" s="86">
        <v>44531</v>
      </c>
      <c r="T141" s="75">
        <v>60</v>
      </c>
      <c r="U141" s="76" t="s">
        <v>492</v>
      </c>
      <c r="V141" s="145"/>
      <c r="W141" s="145"/>
    </row>
    <row r="142" spans="1:23" x14ac:dyDescent="0.3">
      <c r="A142" s="67" t="s">
        <v>238</v>
      </c>
      <c r="B142" s="67" t="s">
        <v>200</v>
      </c>
      <c r="C142" s="68"/>
      <c r="D142" s="69"/>
      <c r="E142" s="68"/>
      <c r="F142" s="70"/>
      <c r="G142" s="68" t="s">
        <v>184</v>
      </c>
      <c r="H142" s="49"/>
      <c r="I142" s="50"/>
      <c r="J142" s="50"/>
      <c r="K142" s="51"/>
      <c r="L142" s="52">
        <v>142</v>
      </c>
      <c r="M14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2" s="53"/>
      <c r="O142" s="75" t="s">
        <v>491</v>
      </c>
      <c r="P142" s="75" t="s">
        <v>523</v>
      </c>
      <c r="Q142" s="75">
        <v>1</v>
      </c>
      <c r="R142" s="86">
        <v>42705</v>
      </c>
      <c r="S142" s="86">
        <v>44531</v>
      </c>
      <c r="T142" s="75">
        <v>60</v>
      </c>
      <c r="U142" s="76" t="s">
        <v>492</v>
      </c>
      <c r="V142" s="145"/>
      <c r="W142" s="145"/>
    </row>
    <row r="143" spans="1:23" x14ac:dyDescent="0.3">
      <c r="A143" s="67" t="s">
        <v>238</v>
      </c>
      <c r="B143" s="67" t="s">
        <v>233</v>
      </c>
      <c r="C143" s="68"/>
      <c r="D143" s="69"/>
      <c r="E143" s="68"/>
      <c r="F143" s="70"/>
      <c r="G143" s="68" t="s">
        <v>184</v>
      </c>
      <c r="H143" s="49"/>
      <c r="I143" s="50"/>
      <c r="J143" s="50"/>
      <c r="K143" s="51"/>
      <c r="L143" s="52">
        <v>143</v>
      </c>
      <c r="M14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3" s="53"/>
      <c r="O143" s="75" t="s">
        <v>491</v>
      </c>
      <c r="P143" s="75" t="s">
        <v>523</v>
      </c>
      <c r="Q143" s="75">
        <v>1</v>
      </c>
      <c r="R143" s="86">
        <v>42705</v>
      </c>
      <c r="S143" s="86">
        <v>44531</v>
      </c>
      <c r="T143" s="75">
        <v>60</v>
      </c>
      <c r="U143" s="76" t="s">
        <v>492</v>
      </c>
      <c r="V143" s="145"/>
      <c r="W143" s="145"/>
    </row>
    <row r="144" spans="1:23" x14ac:dyDescent="0.3">
      <c r="A144" s="67" t="s">
        <v>238</v>
      </c>
      <c r="B144" s="67" t="s">
        <v>268</v>
      </c>
      <c r="C144" s="68"/>
      <c r="D144" s="69"/>
      <c r="E144" s="68"/>
      <c r="F144" s="70"/>
      <c r="G144" s="68" t="s">
        <v>184</v>
      </c>
      <c r="H144" s="49"/>
      <c r="I144" s="50"/>
      <c r="J144" s="50"/>
      <c r="K144" s="51"/>
      <c r="L144" s="52">
        <v>144</v>
      </c>
      <c r="M14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4" s="53"/>
      <c r="O144" s="75" t="s">
        <v>491</v>
      </c>
      <c r="P144" s="75" t="s">
        <v>524</v>
      </c>
      <c r="Q144" s="75">
        <v>1</v>
      </c>
      <c r="R144" s="86">
        <v>42705</v>
      </c>
      <c r="S144" s="86">
        <v>44531</v>
      </c>
      <c r="T144" s="75">
        <v>60</v>
      </c>
      <c r="U144" s="76" t="s">
        <v>492</v>
      </c>
      <c r="V144" s="145"/>
      <c r="W144" s="145"/>
    </row>
    <row r="145" spans="1:23" x14ac:dyDescent="0.3">
      <c r="A145" s="67" t="s">
        <v>238</v>
      </c>
      <c r="B145" s="67" t="s">
        <v>269</v>
      </c>
      <c r="C145" s="68"/>
      <c r="D145" s="69"/>
      <c r="E145" s="68"/>
      <c r="F145" s="70"/>
      <c r="G145" s="68" t="s">
        <v>184</v>
      </c>
      <c r="H145" s="49"/>
      <c r="I145" s="50"/>
      <c r="J145" s="50"/>
      <c r="K145" s="51"/>
      <c r="L145" s="52">
        <v>145</v>
      </c>
      <c r="M14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5" s="53"/>
      <c r="O145" s="75" t="s">
        <v>491</v>
      </c>
      <c r="P145" s="75" t="s">
        <v>524</v>
      </c>
      <c r="Q145" s="75">
        <v>1</v>
      </c>
      <c r="R145" s="86">
        <v>42705</v>
      </c>
      <c r="S145" s="86">
        <v>44531</v>
      </c>
      <c r="T145" s="75">
        <v>60</v>
      </c>
      <c r="U145" s="76" t="s">
        <v>492</v>
      </c>
      <c r="V145" s="145"/>
      <c r="W145" s="145"/>
    </row>
    <row r="146" spans="1:23" x14ac:dyDescent="0.3">
      <c r="A146" s="67" t="s">
        <v>238</v>
      </c>
      <c r="B146" s="67" t="s">
        <v>270</v>
      </c>
      <c r="C146" s="68"/>
      <c r="D146" s="69"/>
      <c r="E146" s="68"/>
      <c r="F146" s="70"/>
      <c r="G146" s="68" t="s">
        <v>184</v>
      </c>
      <c r="H146" s="49"/>
      <c r="I146" s="50"/>
      <c r="J146" s="50"/>
      <c r="K146" s="51"/>
      <c r="L146" s="52">
        <v>146</v>
      </c>
      <c r="M14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6" s="53"/>
      <c r="O146" s="75" t="s">
        <v>491</v>
      </c>
      <c r="P146" s="75" t="s">
        <v>524</v>
      </c>
      <c r="Q146" s="75">
        <v>1</v>
      </c>
      <c r="R146" s="86">
        <v>42705</v>
      </c>
      <c r="S146" s="86">
        <v>44531</v>
      </c>
      <c r="T146" s="75">
        <v>60</v>
      </c>
      <c r="U146" s="76" t="s">
        <v>492</v>
      </c>
      <c r="V146" s="145"/>
      <c r="W146" s="145"/>
    </row>
    <row r="147" spans="1:23" x14ac:dyDescent="0.3">
      <c r="A147" s="67" t="s">
        <v>238</v>
      </c>
      <c r="B147" s="67" t="s">
        <v>271</v>
      </c>
      <c r="C147" s="68"/>
      <c r="D147" s="69"/>
      <c r="E147" s="68"/>
      <c r="F147" s="70"/>
      <c r="G147" s="68" t="s">
        <v>184</v>
      </c>
      <c r="H147" s="49"/>
      <c r="I147" s="50"/>
      <c r="J147" s="50"/>
      <c r="K147" s="51"/>
      <c r="L147" s="52">
        <v>147</v>
      </c>
      <c r="M14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7" s="53"/>
      <c r="O147" s="75" t="s">
        <v>491</v>
      </c>
      <c r="P147" s="75" t="s">
        <v>524</v>
      </c>
      <c r="Q147" s="75">
        <v>1</v>
      </c>
      <c r="R147" s="86">
        <v>42705</v>
      </c>
      <c r="S147" s="86">
        <v>44531</v>
      </c>
      <c r="T147" s="75">
        <v>60</v>
      </c>
      <c r="U147" s="76" t="s">
        <v>492</v>
      </c>
      <c r="V147" s="145"/>
      <c r="W147" s="145"/>
    </row>
    <row r="148" spans="1:23" x14ac:dyDescent="0.3">
      <c r="A148" s="67" t="s">
        <v>222</v>
      </c>
      <c r="B148" s="67" t="s">
        <v>232</v>
      </c>
      <c r="C148" s="68"/>
      <c r="D148" s="69"/>
      <c r="E148" s="68"/>
      <c r="F148" s="70"/>
      <c r="G148" s="68" t="s">
        <v>184</v>
      </c>
      <c r="H148" s="49"/>
      <c r="I148" s="50"/>
      <c r="J148" s="50"/>
      <c r="K148" s="51"/>
      <c r="L148" s="52">
        <v>148</v>
      </c>
      <c r="M14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8" s="53"/>
      <c r="O148" s="75" t="s">
        <v>475</v>
      </c>
      <c r="P148" s="75" t="s">
        <v>475</v>
      </c>
      <c r="Q148" s="75">
        <v>1</v>
      </c>
      <c r="R148" s="86">
        <v>42705</v>
      </c>
      <c r="S148" s="86">
        <f>EDATE(Edges[[#This Row],[Start
Time]],Edges[[#This Row],[Duración
(meses)]])</f>
        <v>43160</v>
      </c>
      <c r="T148" s="75">
        <v>15</v>
      </c>
      <c r="U148" s="76" t="s">
        <v>476</v>
      </c>
      <c r="V148" s="145"/>
      <c r="W148" s="145"/>
    </row>
    <row r="149" spans="1:23" x14ac:dyDescent="0.3">
      <c r="A149" s="67" t="s">
        <v>222</v>
      </c>
      <c r="B149" s="67" t="s">
        <v>224</v>
      </c>
      <c r="C149" s="68"/>
      <c r="D149" s="69"/>
      <c r="E149" s="68"/>
      <c r="F149" s="70"/>
      <c r="G149" s="68" t="s">
        <v>184</v>
      </c>
      <c r="H149" s="49"/>
      <c r="I149" s="50"/>
      <c r="J149" s="50"/>
      <c r="K149" s="51"/>
      <c r="L149" s="52">
        <v>149</v>
      </c>
      <c r="M14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49" s="53"/>
      <c r="O149" s="75" t="s">
        <v>459</v>
      </c>
      <c r="P149" s="75" t="s">
        <v>459</v>
      </c>
      <c r="Q149" s="75">
        <v>1</v>
      </c>
      <c r="R149" s="86">
        <v>42705</v>
      </c>
      <c r="S149" s="86">
        <f>EDATE(Edges[[#This Row],[Start
Time]],Edges[[#This Row],[Duración
(meses)]])</f>
        <v>43160</v>
      </c>
      <c r="T149" s="75">
        <v>15</v>
      </c>
      <c r="U149" s="76" t="s">
        <v>460</v>
      </c>
      <c r="V149" s="145"/>
      <c r="W149" s="145"/>
    </row>
    <row r="150" spans="1:23" x14ac:dyDescent="0.3">
      <c r="A150" s="67" t="s">
        <v>222</v>
      </c>
      <c r="B150" s="67" t="s">
        <v>223</v>
      </c>
      <c r="C150" s="68"/>
      <c r="D150" s="69"/>
      <c r="E150" s="68"/>
      <c r="F150" s="70"/>
      <c r="G150" s="68" t="s">
        <v>184</v>
      </c>
      <c r="H150" s="49"/>
      <c r="I150" s="50"/>
      <c r="J150" s="50"/>
      <c r="K150" s="51"/>
      <c r="L150" s="52">
        <v>150</v>
      </c>
      <c r="M15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0" s="53"/>
      <c r="O150" s="75" t="s">
        <v>457</v>
      </c>
      <c r="P150" s="75" t="s">
        <v>457</v>
      </c>
      <c r="Q150" s="75">
        <v>1</v>
      </c>
      <c r="R150" s="86">
        <v>42705</v>
      </c>
      <c r="S150" s="86">
        <f>EDATE(Edges[[#This Row],[Start
Time]],Edges[[#This Row],[Duración
(meses)]])</f>
        <v>43160</v>
      </c>
      <c r="T150" s="75">
        <v>15</v>
      </c>
      <c r="U150" s="76" t="s">
        <v>458</v>
      </c>
      <c r="V150" s="145"/>
      <c r="W150" s="145"/>
    </row>
    <row r="151" spans="1:23" x14ac:dyDescent="0.3">
      <c r="A151" s="67" t="s">
        <v>357</v>
      </c>
      <c r="B151" s="67" t="s">
        <v>362</v>
      </c>
      <c r="C151" s="68" t="s">
        <v>347</v>
      </c>
      <c r="D151" s="69"/>
      <c r="E151" s="68" t="s">
        <v>133</v>
      </c>
      <c r="F151" s="70"/>
      <c r="G151" s="68" t="s">
        <v>184</v>
      </c>
      <c r="H151" s="49"/>
      <c r="I151" s="50"/>
      <c r="J151" s="50"/>
      <c r="K151" s="51"/>
      <c r="L151" s="52">
        <v>151</v>
      </c>
      <c r="M15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1" s="53"/>
      <c r="O151" s="75"/>
      <c r="P151" s="75" t="s">
        <v>558</v>
      </c>
      <c r="Q151" s="75"/>
      <c r="R151" s="86">
        <v>42552</v>
      </c>
      <c r="S151" s="86"/>
      <c r="T151" s="75"/>
      <c r="U151" s="76"/>
      <c r="V151" s="145"/>
      <c r="W151" s="145"/>
    </row>
    <row r="152" spans="1:23" x14ac:dyDescent="0.3">
      <c r="A152" s="67" t="s">
        <v>257</v>
      </c>
      <c r="B152" s="67" t="s">
        <v>310</v>
      </c>
      <c r="C152" s="68"/>
      <c r="D152" s="69"/>
      <c r="E152" s="68"/>
      <c r="F152" s="70"/>
      <c r="G152" s="68" t="s">
        <v>184</v>
      </c>
      <c r="H152" s="49"/>
      <c r="I152" s="50"/>
      <c r="J152" s="50"/>
      <c r="K152" s="51"/>
      <c r="L152" s="52">
        <v>152</v>
      </c>
      <c r="M15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2" s="53"/>
      <c r="O152" s="75"/>
      <c r="P152" s="75"/>
      <c r="Q152" s="75"/>
      <c r="R152" s="86">
        <v>42374</v>
      </c>
      <c r="S152" s="86"/>
      <c r="T152" s="75"/>
      <c r="U152" s="76"/>
      <c r="V152" s="145"/>
      <c r="W152" s="145"/>
    </row>
    <row r="153" spans="1:23" x14ac:dyDescent="0.3">
      <c r="A153" s="67" t="s">
        <v>373</v>
      </c>
      <c r="B153" s="67" t="s">
        <v>391</v>
      </c>
      <c r="C153" s="68"/>
      <c r="D153" s="69"/>
      <c r="E153" s="68" t="s">
        <v>133</v>
      </c>
      <c r="F153" s="70"/>
      <c r="G153" s="68" t="s">
        <v>184</v>
      </c>
      <c r="H153" s="49"/>
      <c r="I153" s="50"/>
      <c r="J153" s="50"/>
      <c r="K153" s="51"/>
      <c r="L153" s="52">
        <v>153</v>
      </c>
      <c r="M15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3" s="53"/>
      <c r="O153" s="75"/>
      <c r="P153" s="75"/>
      <c r="Q153" s="75"/>
      <c r="R153" s="86">
        <v>42370</v>
      </c>
      <c r="S153" s="86"/>
      <c r="T153" s="75"/>
      <c r="U153" s="76"/>
      <c r="V153" s="145"/>
      <c r="W153" s="145"/>
    </row>
    <row r="154" spans="1:23" x14ac:dyDescent="0.3">
      <c r="A154" s="67" t="s">
        <v>373</v>
      </c>
      <c r="B154" s="67" t="s">
        <v>390</v>
      </c>
      <c r="C154" s="68"/>
      <c r="D154" s="69"/>
      <c r="E154" s="68" t="s">
        <v>133</v>
      </c>
      <c r="F154" s="70"/>
      <c r="G154" s="68" t="s">
        <v>184</v>
      </c>
      <c r="H154" s="49"/>
      <c r="I154" s="50"/>
      <c r="J154" s="50"/>
      <c r="K154" s="51"/>
      <c r="L154" s="52">
        <v>154</v>
      </c>
      <c r="M15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4" s="53"/>
      <c r="O154" s="75"/>
      <c r="P154" s="75"/>
      <c r="Q154" s="75"/>
      <c r="R154" s="86">
        <v>42370</v>
      </c>
      <c r="S154" s="86"/>
      <c r="T154" s="75"/>
      <c r="U154" s="76"/>
      <c r="V154" s="145"/>
      <c r="W154" s="145"/>
    </row>
    <row r="155" spans="1:23" x14ac:dyDescent="0.3">
      <c r="A155" s="67" t="s">
        <v>222</v>
      </c>
      <c r="B155" s="67" t="s">
        <v>226</v>
      </c>
      <c r="C155" s="68"/>
      <c r="D155" s="69"/>
      <c r="E155" s="68"/>
      <c r="F155" s="70"/>
      <c r="G155" s="68" t="s">
        <v>184</v>
      </c>
      <c r="H155" s="49"/>
      <c r="I155" s="50"/>
      <c r="J155" s="50"/>
      <c r="K155" s="51"/>
      <c r="L155" s="52">
        <v>155</v>
      </c>
      <c r="M15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5" s="53"/>
      <c r="O155" s="75" t="s">
        <v>463</v>
      </c>
      <c r="P155" s="75" t="s">
        <v>463</v>
      </c>
      <c r="Q155" s="75">
        <v>1</v>
      </c>
      <c r="R155" s="86">
        <v>42705</v>
      </c>
      <c r="S155" s="86">
        <f>EDATE(Edges[[#This Row],[Start
Time]],Edges[[#This Row],[Duración
(meses)]])</f>
        <v>43160</v>
      </c>
      <c r="T155" s="75">
        <v>15</v>
      </c>
      <c r="U155" s="76" t="s">
        <v>464</v>
      </c>
      <c r="V155" s="145"/>
      <c r="W155" s="145"/>
    </row>
    <row r="156" spans="1:23" x14ac:dyDescent="0.3">
      <c r="A156" s="67" t="s">
        <v>264</v>
      </c>
      <c r="B156" s="67" t="s">
        <v>265</v>
      </c>
      <c r="C156" s="68"/>
      <c r="D156" s="69"/>
      <c r="E156" s="68"/>
      <c r="F156" s="70"/>
      <c r="G156" s="68" t="s">
        <v>184</v>
      </c>
      <c r="H156" s="49"/>
      <c r="I156" s="50"/>
      <c r="J156" s="50"/>
      <c r="K156" s="51"/>
      <c r="L156" s="52">
        <v>156</v>
      </c>
      <c r="M15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6" s="53"/>
      <c r="O156" s="75" t="s">
        <v>520</v>
      </c>
      <c r="P156" s="75" t="s">
        <v>520</v>
      </c>
      <c r="Q156" s="75">
        <v>1</v>
      </c>
      <c r="R156" s="86">
        <v>42723</v>
      </c>
      <c r="S156" s="86">
        <v>42736</v>
      </c>
      <c r="T156" s="75">
        <v>15</v>
      </c>
      <c r="U156" s="76" t="s">
        <v>745</v>
      </c>
      <c r="V156" s="145"/>
      <c r="W156" s="145"/>
    </row>
    <row r="157" spans="1:23" x14ac:dyDescent="0.3">
      <c r="A157" s="67" t="s">
        <v>351</v>
      </c>
      <c r="B157" s="67" t="s">
        <v>264</v>
      </c>
      <c r="C157" s="68"/>
      <c r="D157" s="69"/>
      <c r="E157" s="68"/>
      <c r="F157" s="70"/>
      <c r="G157" s="68" t="s">
        <v>184</v>
      </c>
      <c r="H157" s="49"/>
      <c r="I157" s="50"/>
      <c r="J157" s="50"/>
      <c r="K157" s="51"/>
      <c r="L157" s="52">
        <v>157</v>
      </c>
      <c r="M15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7" s="53"/>
      <c r="O157" s="75"/>
      <c r="P157" s="75"/>
      <c r="Q157" s="75"/>
      <c r="R157" s="86">
        <v>42370</v>
      </c>
      <c r="S157" s="86"/>
      <c r="T157" s="75"/>
      <c r="U157" s="76"/>
      <c r="V157" s="145"/>
      <c r="W157" s="145"/>
    </row>
    <row r="158" spans="1:23" x14ac:dyDescent="0.3">
      <c r="A158" s="67" t="s">
        <v>375</v>
      </c>
      <c r="B158" s="67" t="s">
        <v>214</v>
      </c>
      <c r="C158" s="68"/>
      <c r="D158" s="69"/>
      <c r="E158" s="68"/>
      <c r="F158" s="70"/>
      <c r="G158" s="68" t="s">
        <v>184</v>
      </c>
      <c r="H158" s="49"/>
      <c r="I158" s="50"/>
      <c r="J158" s="50"/>
      <c r="K158" s="51"/>
      <c r="L158" s="52">
        <v>158</v>
      </c>
      <c r="M15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8" s="53"/>
      <c r="O158" s="75"/>
      <c r="P158" s="75"/>
      <c r="Q158" s="75"/>
      <c r="R158" s="86">
        <v>42370</v>
      </c>
      <c r="S158" s="86"/>
      <c r="T158" s="75"/>
      <c r="U158" s="76"/>
      <c r="V158" s="145"/>
      <c r="W158" s="145"/>
    </row>
    <row r="159" spans="1:23" x14ac:dyDescent="0.3">
      <c r="A159" s="67" t="s">
        <v>264</v>
      </c>
      <c r="B159" s="67" t="s">
        <v>266</v>
      </c>
      <c r="C159" s="68"/>
      <c r="D159" s="69"/>
      <c r="E159" s="68"/>
      <c r="F159" s="70"/>
      <c r="G159" s="68" t="s">
        <v>184</v>
      </c>
      <c r="H159" s="49"/>
      <c r="I159" s="50"/>
      <c r="J159" s="50"/>
      <c r="K159" s="51"/>
      <c r="L159" s="52">
        <v>159</v>
      </c>
      <c r="M15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59" s="53"/>
      <c r="O159" s="75" t="s">
        <v>521</v>
      </c>
      <c r="P159" s="75" t="s">
        <v>521</v>
      </c>
      <c r="Q159" s="75">
        <v>1</v>
      </c>
      <c r="R159" s="86">
        <v>42726</v>
      </c>
      <c r="S159" s="86">
        <v>42736</v>
      </c>
      <c r="T159" s="75">
        <v>12</v>
      </c>
      <c r="U159" s="76" t="s">
        <v>746</v>
      </c>
      <c r="V159" s="145" t="str">
        <f>REPLACE(INDEX(GroupVertices[Group], MATCH(Edges[[#This Row],[Vertex 1]],GroupVertices[Vertex],0)),1,1,"")</f>
        <v>12</v>
      </c>
      <c r="W159" s="145" t="str">
        <f>REPLACE(INDEX(GroupVertices[Group], MATCH(Edges[[#This Row],[Vertex 2]],GroupVertices[Vertex],0)),1,1,"")</f>
        <v>12</v>
      </c>
    </row>
    <row r="160" spans="1:23" x14ac:dyDescent="0.3">
      <c r="A160" s="67" t="s">
        <v>239</v>
      </c>
      <c r="B160" s="67" t="s">
        <v>327</v>
      </c>
      <c r="C160" s="79"/>
      <c r="D160" s="80"/>
      <c r="E160" s="79"/>
      <c r="F160" s="81"/>
      <c r="G160" s="79" t="s">
        <v>184</v>
      </c>
      <c r="H160" s="82"/>
      <c r="I160" s="83"/>
      <c r="J160" s="83"/>
      <c r="K160" s="84"/>
      <c r="L160" s="85">
        <v>160</v>
      </c>
      <c r="M160" s="8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0" s="53"/>
      <c r="O160" s="75" t="s">
        <v>493</v>
      </c>
      <c r="P160" s="75" t="s">
        <v>543</v>
      </c>
      <c r="Q160" s="75">
        <v>1</v>
      </c>
      <c r="R160" s="144">
        <v>42317</v>
      </c>
      <c r="S160" s="86">
        <f>EDATE(Edges[[#This Row],[Start
Time]],Edges[[#This Row],[Duración
(meses)]])</f>
        <v>43778</v>
      </c>
      <c r="T160" s="75">
        <v>48</v>
      </c>
      <c r="U160" s="76" t="s">
        <v>748</v>
      </c>
      <c r="V160" s="145"/>
      <c r="W160" s="145"/>
    </row>
    <row r="161" spans="1:23" x14ac:dyDescent="0.3">
      <c r="A161" s="67" t="s">
        <v>193</v>
      </c>
      <c r="B161" s="67" t="s">
        <v>194</v>
      </c>
      <c r="C161" s="68"/>
      <c r="D161" s="69"/>
      <c r="E161" s="68"/>
      <c r="F161" s="70"/>
      <c r="G161" s="68" t="s">
        <v>184</v>
      </c>
      <c r="H161" s="49"/>
      <c r="I161" s="50"/>
      <c r="J161" s="50"/>
      <c r="K161" s="51"/>
      <c r="L161" s="52">
        <v>161</v>
      </c>
      <c r="M16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1" s="53"/>
      <c r="O161" s="75" t="s">
        <v>410</v>
      </c>
      <c r="P161" s="75" t="s">
        <v>410</v>
      </c>
      <c r="Q161" s="75">
        <v>1</v>
      </c>
      <c r="R161" s="144">
        <v>42317</v>
      </c>
      <c r="S161" s="86">
        <f>EDATE(Edges[[#This Row],[Start
Time]],Edges[[#This Row],[Duración
(meses)]])</f>
        <v>43048</v>
      </c>
      <c r="T161" s="75">
        <v>24</v>
      </c>
      <c r="U161" s="76" t="s">
        <v>411</v>
      </c>
      <c r="V161" s="145"/>
      <c r="W161" s="145"/>
    </row>
    <row r="162" spans="1:23" x14ac:dyDescent="0.3">
      <c r="A162" s="67" t="s">
        <v>193</v>
      </c>
      <c r="B162" s="67" t="s">
        <v>235</v>
      </c>
      <c r="C162" s="68"/>
      <c r="D162" s="69"/>
      <c r="E162" s="68"/>
      <c r="F162" s="70"/>
      <c r="G162" s="68" t="s">
        <v>184</v>
      </c>
      <c r="H162" s="49"/>
      <c r="I162" s="50"/>
      <c r="J162" s="50"/>
      <c r="K162" s="51"/>
      <c r="L162" s="52">
        <v>162</v>
      </c>
      <c r="M16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2" s="53"/>
      <c r="O162" s="75" t="s">
        <v>482</v>
      </c>
      <c r="P162" s="75" t="s">
        <v>482</v>
      </c>
      <c r="Q162" s="75">
        <v>1</v>
      </c>
      <c r="R162" s="144">
        <v>42317</v>
      </c>
      <c r="S162" s="86">
        <f>EDATE(Edges[[#This Row],[Start
Time]],Edges[[#This Row],[Duración
(meses)]])</f>
        <v>43048</v>
      </c>
      <c r="T162" s="143">
        <v>24</v>
      </c>
      <c r="U162" s="76" t="s">
        <v>483</v>
      </c>
      <c r="V162" s="145"/>
      <c r="W162" s="145"/>
    </row>
    <row r="163" spans="1:23" x14ac:dyDescent="0.3">
      <c r="A163" s="67" t="s">
        <v>193</v>
      </c>
      <c r="B163" s="67" t="s">
        <v>221</v>
      </c>
      <c r="C163" s="68"/>
      <c r="D163" s="69"/>
      <c r="E163" s="68"/>
      <c r="F163" s="70"/>
      <c r="G163" s="68" t="s">
        <v>184</v>
      </c>
      <c r="H163" s="49"/>
      <c r="I163" s="50"/>
      <c r="J163" s="50"/>
      <c r="K163" s="51"/>
      <c r="L163" s="52">
        <v>163</v>
      </c>
      <c r="M16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3" s="53"/>
      <c r="O163" s="75" t="s">
        <v>455</v>
      </c>
      <c r="P163" s="75" t="s">
        <v>455</v>
      </c>
      <c r="Q163" s="75">
        <v>1</v>
      </c>
      <c r="R163" s="144">
        <v>42317</v>
      </c>
      <c r="S163" s="86">
        <f>EDATE(Edges[[#This Row],[Start
Time]],Edges[[#This Row],[Duración
(meses)]])</f>
        <v>43413</v>
      </c>
      <c r="T163" s="75">
        <v>36</v>
      </c>
      <c r="U163" s="76" t="s">
        <v>456</v>
      </c>
      <c r="V163" s="145"/>
      <c r="W163" s="145"/>
    </row>
    <row r="164" spans="1:23" x14ac:dyDescent="0.3">
      <c r="A164" s="67" t="s">
        <v>193</v>
      </c>
      <c r="B164" s="67" t="s">
        <v>239</v>
      </c>
      <c r="C164" s="68"/>
      <c r="D164" s="69"/>
      <c r="E164" s="68"/>
      <c r="F164" s="70"/>
      <c r="G164" s="68" t="s">
        <v>184</v>
      </c>
      <c r="H164" s="49"/>
      <c r="I164" s="50"/>
      <c r="J164" s="50"/>
      <c r="K164" s="51"/>
      <c r="L164" s="52">
        <v>164</v>
      </c>
      <c r="M16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4" s="53"/>
      <c r="O164" s="75" t="s">
        <v>493</v>
      </c>
      <c r="P164" s="75" t="s">
        <v>493</v>
      </c>
      <c r="Q164" s="75">
        <v>1</v>
      </c>
      <c r="R164" s="144">
        <v>42317</v>
      </c>
      <c r="S164" s="86">
        <f>EDATE(Edges[[#This Row],[Start
Time]],Edges[[#This Row],[Duración
(meses)]])</f>
        <v>43778</v>
      </c>
      <c r="T164" s="75">
        <v>48</v>
      </c>
      <c r="U164" s="76" t="s">
        <v>494</v>
      </c>
      <c r="V164" s="145"/>
      <c r="W164" s="145"/>
    </row>
    <row r="165" spans="1:23" x14ac:dyDescent="0.3">
      <c r="A165" s="67" t="s">
        <v>221</v>
      </c>
      <c r="B165" s="67" t="s">
        <v>326</v>
      </c>
      <c r="C165" s="68"/>
      <c r="D165" s="69"/>
      <c r="E165" s="68"/>
      <c r="F165" s="70"/>
      <c r="G165" s="68" t="s">
        <v>184</v>
      </c>
      <c r="H165" s="49"/>
      <c r="I165" s="50"/>
      <c r="J165" s="50"/>
      <c r="K165" s="51"/>
      <c r="L165" s="52">
        <v>165</v>
      </c>
      <c r="M16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5" s="53"/>
      <c r="O165" s="75" t="s">
        <v>455</v>
      </c>
      <c r="P165" s="75" t="s">
        <v>542</v>
      </c>
      <c r="Q165" s="75">
        <v>1</v>
      </c>
      <c r="R165" s="144">
        <v>42317</v>
      </c>
      <c r="S165" s="86">
        <f>EDATE(Edges[[#This Row],[Start
Time]],Edges[[#This Row],[Duración
(meses)]])</f>
        <v>43413</v>
      </c>
      <c r="T165" s="75">
        <v>36</v>
      </c>
      <c r="U165" s="76" t="s">
        <v>747</v>
      </c>
      <c r="V165" s="145"/>
      <c r="W165" s="145"/>
    </row>
    <row r="166" spans="1:23" x14ac:dyDescent="0.3">
      <c r="A166" s="67" t="s">
        <v>221</v>
      </c>
      <c r="B166" s="67" t="s">
        <v>303</v>
      </c>
      <c r="C166" s="79"/>
      <c r="D166" s="80"/>
      <c r="E166" s="79"/>
      <c r="F166" s="81"/>
      <c r="G166" s="79" t="s">
        <v>184</v>
      </c>
      <c r="H166" s="82"/>
      <c r="I166" s="83"/>
      <c r="J166" s="83"/>
      <c r="K166" s="84"/>
      <c r="L166" s="85">
        <v>166</v>
      </c>
      <c r="M166" s="8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6" s="53"/>
      <c r="O166" s="75" t="s">
        <v>455</v>
      </c>
      <c r="P166" s="75" t="s">
        <v>542</v>
      </c>
      <c r="Q166" s="75">
        <v>1</v>
      </c>
      <c r="R166" s="144">
        <v>42317</v>
      </c>
      <c r="S166" s="86">
        <f>EDATE(Edges[[#This Row],[Start
Time]],Edges[[#This Row],[Duración
(meses)]])</f>
        <v>43413</v>
      </c>
      <c r="T166" s="75">
        <v>36</v>
      </c>
      <c r="U166" s="76" t="s">
        <v>747</v>
      </c>
      <c r="V166" s="145"/>
      <c r="W166" s="145"/>
    </row>
    <row r="167" spans="1:23" x14ac:dyDescent="0.3">
      <c r="A167" s="67" t="s">
        <v>235</v>
      </c>
      <c r="B167" s="67" t="s">
        <v>328</v>
      </c>
      <c r="C167" s="68"/>
      <c r="D167" s="69"/>
      <c r="E167" s="68"/>
      <c r="F167" s="70"/>
      <c r="G167" s="68" t="s">
        <v>184</v>
      </c>
      <c r="H167" s="49"/>
      <c r="I167" s="50"/>
      <c r="J167" s="50"/>
      <c r="K167" s="51"/>
      <c r="L167" s="52">
        <v>167</v>
      </c>
      <c r="M16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7" s="53"/>
      <c r="O167" s="75" t="s">
        <v>482</v>
      </c>
      <c r="P167" s="75" t="s">
        <v>544</v>
      </c>
      <c r="Q167" s="75">
        <v>1</v>
      </c>
      <c r="R167" s="144">
        <v>42317</v>
      </c>
      <c r="S167" s="86">
        <f>EDATE(Edges[[#This Row],[Start
Time]],Edges[[#This Row],[Duración
(meses)]])</f>
        <v>43048</v>
      </c>
      <c r="T167" s="143">
        <v>24</v>
      </c>
      <c r="U167" s="76" t="s">
        <v>483</v>
      </c>
      <c r="V167" s="145"/>
      <c r="W167" s="145"/>
    </row>
    <row r="168" spans="1:23" x14ac:dyDescent="0.3">
      <c r="A168" s="67" t="s">
        <v>194</v>
      </c>
      <c r="B168" s="67" t="s">
        <v>325</v>
      </c>
      <c r="C168" s="68"/>
      <c r="D168" s="69"/>
      <c r="E168" s="68"/>
      <c r="F168" s="70"/>
      <c r="G168" s="68" t="s">
        <v>184</v>
      </c>
      <c r="H168" s="49"/>
      <c r="I168" s="50"/>
      <c r="J168" s="50"/>
      <c r="K168" s="51"/>
      <c r="L168" s="52">
        <v>168</v>
      </c>
      <c r="M16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8" s="53"/>
      <c r="O168" s="75" t="s">
        <v>410</v>
      </c>
      <c r="P168" s="75" t="s">
        <v>541</v>
      </c>
      <c r="Q168" s="75">
        <v>1</v>
      </c>
      <c r="R168" s="144">
        <v>42317</v>
      </c>
      <c r="S168" s="86">
        <f>EDATE(Edges[[#This Row],[Start
Time]],Edges[[#This Row],[Duración
(meses)]])</f>
        <v>43048</v>
      </c>
      <c r="T168" s="75">
        <v>24</v>
      </c>
      <c r="U168" s="76" t="s">
        <v>411</v>
      </c>
      <c r="V168" s="145"/>
      <c r="W168" s="145"/>
    </row>
    <row r="169" spans="1:23" x14ac:dyDescent="0.3">
      <c r="A169" s="67" t="s">
        <v>210</v>
      </c>
      <c r="B169" s="67" t="s">
        <v>200</v>
      </c>
      <c r="C169" s="68"/>
      <c r="D169" s="69"/>
      <c r="E169" s="68"/>
      <c r="F169" s="70"/>
      <c r="G169" s="68" t="s">
        <v>184</v>
      </c>
      <c r="H169" s="49"/>
      <c r="I169" s="50"/>
      <c r="J169" s="50"/>
      <c r="K169" s="51"/>
      <c r="L169" s="52">
        <v>169</v>
      </c>
      <c r="M16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69" s="53"/>
      <c r="O169" s="75" t="s">
        <v>438</v>
      </c>
      <c r="P169" s="75" t="s">
        <v>438</v>
      </c>
      <c r="Q169" s="75">
        <v>1</v>
      </c>
      <c r="R169" s="86">
        <v>42335</v>
      </c>
      <c r="S169" s="86">
        <f>EDATE(Edges[[#This Row],[Start
Time]],Edges[[#This Row],[Duración
(meses)]])</f>
        <v>45988</v>
      </c>
      <c r="T169" s="75">
        <v>120</v>
      </c>
      <c r="U169" s="76" t="s">
        <v>439</v>
      </c>
      <c r="V169" s="145"/>
      <c r="W169" s="145"/>
    </row>
    <row r="170" spans="1:23" x14ac:dyDescent="0.3">
      <c r="A170" s="67" t="s">
        <v>210</v>
      </c>
      <c r="B170" s="67" t="s">
        <v>255</v>
      </c>
      <c r="C170" s="68"/>
      <c r="D170" s="69"/>
      <c r="E170" s="68"/>
      <c r="F170" s="70"/>
      <c r="G170" s="68" t="s">
        <v>184</v>
      </c>
      <c r="H170" s="49"/>
      <c r="I170" s="50"/>
      <c r="J170" s="50"/>
      <c r="K170" s="51"/>
      <c r="L170" s="52">
        <v>170</v>
      </c>
      <c r="M17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0" s="53"/>
      <c r="O170" s="75" t="s">
        <v>438</v>
      </c>
      <c r="P170" s="75" t="s">
        <v>508</v>
      </c>
      <c r="Q170" s="75">
        <v>1</v>
      </c>
      <c r="R170" s="86">
        <v>42335</v>
      </c>
      <c r="S170" s="86">
        <f>EDATE(Edges[[#This Row],[Start
Time]],Edges[[#This Row],[Duración
(meses)]])</f>
        <v>45988</v>
      </c>
      <c r="T170" s="75">
        <v>120</v>
      </c>
      <c r="U170" s="76" t="s">
        <v>439</v>
      </c>
      <c r="V170" s="145"/>
      <c r="W170" s="145"/>
    </row>
    <row r="171" spans="1:23" x14ac:dyDescent="0.3">
      <c r="A171" s="67" t="s">
        <v>210</v>
      </c>
      <c r="B171" s="67" t="s">
        <v>256</v>
      </c>
      <c r="C171" s="68"/>
      <c r="D171" s="69"/>
      <c r="E171" s="68"/>
      <c r="F171" s="70"/>
      <c r="G171" s="68" t="s">
        <v>184</v>
      </c>
      <c r="H171" s="49"/>
      <c r="I171" s="50"/>
      <c r="J171" s="50"/>
      <c r="K171" s="51"/>
      <c r="L171" s="52">
        <v>171</v>
      </c>
      <c r="M17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1" s="53"/>
      <c r="O171" s="75" t="s">
        <v>438</v>
      </c>
      <c r="P171" s="75" t="s">
        <v>508</v>
      </c>
      <c r="Q171" s="75">
        <v>1</v>
      </c>
      <c r="R171" s="86">
        <v>42335</v>
      </c>
      <c r="S171" s="86">
        <f>EDATE(Edges[[#This Row],[Start
Time]],Edges[[#This Row],[Duración
(meses)]])</f>
        <v>45988</v>
      </c>
      <c r="T171" s="75">
        <v>120</v>
      </c>
      <c r="U171" s="76" t="s">
        <v>439</v>
      </c>
      <c r="V171" s="145"/>
      <c r="W171" s="145"/>
    </row>
    <row r="172" spans="1:23" x14ac:dyDescent="0.3">
      <c r="A172" s="67" t="s">
        <v>210</v>
      </c>
      <c r="B172" s="67" t="s">
        <v>257</v>
      </c>
      <c r="C172" s="68"/>
      <c r="D172" s="69"/>
      <c r="E172" s="68"/>
      <c r="F172" s="70"/>
      <c r="G172" s="68" t="s">
        <v>184</v>
      </c>
      <c r="H172" s="49"/>
      <c r="I172" s="50"/>
      <c r="J172" s="50"/>
      <c r="K172" s="51"/>
      <c r="L172" s="52">
        <v>172</v>
      </c>
      <c r="M17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2" s="53"/>
      <c r="O172" s="75" t="s">
        <v>438</v>
      </c>
      <c r="P172" s="75" t="s">
        <v>509</v>
      </c>
      <c r="Q172" s="75">
        <v>1</v>
      </c>
      <c r="R172" s="86">
        <v>42335</v>
      </c>
      <c r="S172" s="86">
        <f>EDATE(Edges[[#This Row],[Start
Time]],Edges[[#This Row],[Duración
(meses)]])</f>
        <v>45988</v>
      </c>
      <c r="T172" s="75">
        <v>120</v>
      </c>
      <c r="U172" s="76" t="s">
        <v>439</v>
      </c>
      <c r="V172" s="145"/>
      <c r="W172" s="145"/>
    </row>
    <row r="173" spans="1:23" x14ac:dyDescent="0.3">
      <c r="A173" s="67" t="s">
        <v>210</v>
      </c>
      <c r="B173" s="67" t="s">
        <v>246</v>
      </c>
      <c r="C173" s="68"/>
      <c r="D173" s="69"/>
      <c r="E173" s="68"/>
      <c r="F173" s="70"/>
      <c r="G173" s="68" t="s">
        <v>184</v>
      </c>
      <c r="H173" s="49"/>
      <c r="I173" s="50"/>
      <c r="J173" s="50"/>
      <c r="K173" s="51"/>
      <c r="L173" s="52">
        <v>173</v>
      </c>
      <c r="M17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3" s="53"/>
      <c r="O173" s="75" t="s">
        <v>438</v>
      </c>
      <c r="P173" s="75" t="s">
        <v>509</v>
      </c>
      <c r="Q173" s="75">
        <v>1</v>
      </c>
      <c r="R173" s="86">
        <v>42335</v>
      </c>
      <c r="S173" s="86">
        <f>EDATE(Edges[[#This Row],[Start
Time]],Edges[[#This Row],[Duración
(meses)]])</f>
        <v>45988</v>
      </c>
      <c r="T173" s="75">
        <v>120</v>
      </c>
      <c r="U173" s="76" t="s">
        <v>439</v>
      </c>
      <c r="V173" s="145"/>
      <c r="W173" s="145"/>
    </row>
    <row r="174" spans="1:23" x14ac:dyDescent="0.3">
      <c r="A174" s="67" t="s">
        <v>210</v>
      </c>
      <c r="B174" s="67" t="s">
        <v>228</v>
      </c>
      <c r="C174" s="68"/>
      <c r="D174" s="69"/>
      <c r="E174" s="68"/>
      <c r="F174" s="70"/>
      <c r="G174" s="68" t="s">
        <v>184</v>
      </c>
      <c r="H174" s="49"/>
      <c r="I174" s="50"/>
      <c r="J174" s="50"/>
      <c r="K174" s="51"/>
      <c r="L174" s="52">
        <v>174</v>
      </c>
      <c r="M17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4" s="53"/>
      <c r="O174" s="75" t="s">
        <v>438</v>
      </c>
      <c r="P174" s="75" t="s">
        <v>509</v>
      </c>
      <c r="Q174" s="75">
        <v>1</v>
      </c>
      <c r="R174" s="86">
        <v>42335</v>
      </c>
      <c r="S174" s="86">
        <f>EDATE(Edges[[#This Row],[Start
Time]],Edges[[#This Row],[Duración
(meses)]])</f>
        <v>45988</v>
      </c>
      <c r="T174" s="75">
        <v>120</v>
      </c>
      <c r="U174" s="76" t="s">
        <v>439</v>
      </c>
      <c r="V174" s="145"/>
      <c r="W174" s="145"/>
    </row>
    <row r="175" spans="1:23" x14ac:dyDescent="0.3">
      <c r="A175" s="67" t="s">
        <v>210</v>
      </c>
      <c r="B175" s="67" t="s">
        <v>254</v>
      </c>
      <c r="C175" s="68"/>
      <c r="D175" s="69"/>
      <c r="E175" s="68"/>
      <c r="F175" s="70"/>
      <c r="G175" s="68" t="s">
        <v>184</v>
      </c>
      <c r="H175" s="49"/>
      <c r="I175" s="50"/>
      <c r="J175" s="50"/>
      <c r="K175" s="51"/>
      <c r="L175" s="52">
        <v>175</v>
      </c>
      <c r="M17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5" s="53"/>
      <c r="O175" s="75" t="s">
        <v>438</v>
      </c>
      <c r="P175" s="75" t="s">
        <v>509</v>
      </c>
      <c r="Q175" s="75">
        <v>1</v>
      </c>
      <c r="R175" s="86">
        <v>42335</v>
      </c>
      <c r="S175" s="86">
        <f>EDATE(Edges[[#This Row],[Start
Time]],Edges[[#This Row],[Duración
(meses)]])</f>
        <v>45988</v>
      </c>
      <c r="T175" s="75">
        <v>120</v>
      </c>
      <c r="U175" s="76" t="s">
        <v>439</v>
      </c>
      <c r="V175" s="145"/>
      <c r="W175" s="145"/>
    </row>
    <row r="176" spans="1:23" x14ac:dyDescent="0.3">
      <c r="A176" s="67" t="s">
        <v>210</v>
      </c>
      <c r="B176" s="67" t="s">
        <v>252</v>
      </c>
      <c r="C176" s="68"/>
      <c r="D176" s="69"/>
      <c r="E176" s="68"/>
      <c r="F176" s="70"/>
      <c r="G176" s="68" t="s">
        <v>184</v>
      </c>
      <c r="H176" s="49"/>
      <c r="I176" s="50"/>
      <c r="J176" s="50"/>
      <c r="K176" s="51"/>
      <c r="L176" s="52">
        <v>176</v>
      </c>
      <c r="M17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6" s="53"/>
      <c r="O176" s="75" t="s">
        <v>438</v>
      </c>
      <c r="P176" s="75" t="s">
        <v>509</v>
      </c>
      <c r="Q176" s="75">
        <v>1</v>
      </c>
      <c r="R176" s="86">
        <v>42335</v>
      </c>
      <c r="S176" s="86">
        <f>EDATE(Edges[[#This Row],[Start
Time]],Edges[[#This Row],[Duración
(meses)]])</f>
        <v>45988</v>
      </c>
      <c r="T176" s="75">
        <v>120</v>
      </c>
      <c r="U176" s="76" t="s">
        <v>439</v>
      </c>
      <c r="V176" s="145"/>
      <c r="W176" s="145"/>
    </row>
    <row r="177" spans="1:23" x14ac:dyDescent="0.3">
      <c r="A177" s="67" t="s">
        <v>199</v>
      </c>
      <c r="B177" s="67" t="s">
        <v>200</v>
      </c>
      <c r="C177" s="68"/>
      <c r="D177" s="69"/>
      <c r="E177" s="68"/>
      <c r="F177" s="70"/>
      <c r="G177" s="68" t="s">
        <v>184</v>
      </c>
      <c r="H177" s="49"/>
      <c r="I177" s="50"/>
      <c r="J177" s="50"/>
      <c r="K177" s="51"/>
      <c r="L177" s="52">
        <v>177</v>
      </c>
      <c r="M17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7" s="53"/>
      <c r="O177" s="75" t="s">
        <v>418</v>
      </c>
      <c r="P177" s="75" t="s">
        <v>418</v>
      </c>
      <c r="Q177" s="75">
        <v>1</v>
      </c>
      <c r="R177" s="86">
        <v>42339</v>
      </c>
      <c r="S177" s="86">
        <f>EDATE(Edges[[#This Row],[Start
Time]],Edges[[#This Row],[Duración
(meses)]])</f>
        <v>42887</v>
      </c>
      <c r="T177" s="75">
        <v>18</v>
      </c>
      <c r="U177" s="76" t="s">
        <v>419</v>
      </c>
      <c r="V177" s="145"/>
      <c r="W177" s="145"/>
    </row>
    <row r="178" spans="1:23" x14ac:dyDescent="0.3">
      <c r="A178" s="67" t="s">
        <v>182</v>
      </c>
      <c r="B178" s="67" t="s">
        <v>187</v>
      </c>
      <c r="C178" s="68"/>
      <c r="D178" s="69"/>
      <c r="E178" s="68"/>
      <c r="F178" s="70"/>
      <c r="G178" s="68" t="s">
        <v>184</v>
      </c>
      <c r="H178" s="49"/>
      <c r="I178" s="50"/>
      <c r="J178" s="50"/>
      <c r="K178" s="51"/>
      <c r="L178" s="52">
        <v>178</v>
      </c>
      <c r="M17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8" s="53"/>
      <c r="O178" s="75" t="s">
        <v>400</v>
      </c>
      <c r="P178" s="75" t="s">
        <v>400</v>
      </c>
      <c r="Q178" s="75">
        <v>1</v>
      </c>
      <c r="R178" s="86">
        <v>42339</v>
      </c>
      <c r="S178" s="86">
        <f>EDATE(Edges[[#This Row],[Start
Time]],Edges[[#This Row],[Duración
(meses)]])</f>
        <v>42705</v>
      </c>
      <c r="T178" s="75">
        <v>12</v>
      </c>
      <c r="U178" s="76" t="s">
        <v>401</v>
      </c>
      <c r="V178" s="145"/>
      <c r="W178" s="145"/>
    </row>
    <row r="179" spans="1:23" x14ac:dyDescent="0.3">
      <c r="A179" s="67" t="s">
        <v>196</v>
      </c>
      <c r="B179" s="67" t="s">
        <v>201</v>
      </c>
      <c r="C179" s="68"/>
      <c r="D179" s="69"/>
      <c r="E179" s="68"/>
      <c r="F179" s="70"/>
      <c r="G179" s="68" t="s">
        <v>184</v>
      </c>
      <c r="H179" s="49"/>
      <c r="I179" s="50"/>
      <c r="J179" s="50"/>
      <c r="K179" s="51"/>
      <c r="L179" s="52">
        <v>179</v>
      </c>
      <c r="M17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79" s="53"/>
      <c r="O179" s="75" t="s">
        <v>420</v>
      </c>
      <c r="P179" s="75" t="s">
        <v>420</v>
      </c>
      <c r="Q179" s="75">
        <v>1</v>
      </c>
      <c r="R179" s="86">
        <v>42339</v>
      </c>
      <c r="S179" s="86">
        <f>EDATE(Edges[[#This Row],[Start
Time]],Edges[[#This Row],[Duración
(meses)]])</f>
        <v>43070</v>
      </c>
      <c r="T179" s="75">
        <v>24</v>
      </c>
      <c r="U179" s="76" t="s">
        <v>421</v>
      </c>
      <c r="V179" s="145"/>
      <c r="W179" s="145"/>
    </row>
    <row r="180" spans="1:23" x14ac:dyDescent="0.3">
      <c r="A180" s="67" t="s">
        <v>196</v>
      </c>
      <c r="B180" s="67" t="s">
        <v>197</v>
      </c>
      <c r="C180" s="68"/>
      <c r="D180" s="69"/>
      <c r="E180" s="68"/>
      <c r="F180" s="70"/>
      <c r="G180" s="68" t="s">
        <v>184</v>
      </c>
      <c r="H180" s="49"/>
      <c r="I180" s="50"/>
      <c r="J180" s="50"/>
      <c r="K180" s="51"/>
      <c r="L180" s="52">
        <v>180</v>
      </c>
      <c r="M18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0" s="53"/>
      <c r="O180" s="75" t="s">
        <v>422</v>
      </c>
      <c r="P180" s="75" t="s">
        <v>422</v>
      </c>
      <c r="Q180" s="75">
        <v>1</v>
      </c>
      <c r="R180" s="86">
        <v>42339</v>
      </c>
      <c r="S180" s="86">
        <f>EDATE(Edges[[#This Row],[Start
Time]],Edges[[#This Row],[Duración
(meses)]])</f>
        <v>43070</v>
      </c>
      <c r="T180" s="75">
        <v>24</v>
      </c>
      <c r="U180" s="76" t="s">
        <v>423</v>
      </c>
      <c r="V180" s="145"/>
      <c r="W180" s="145"/>
    </row>
    <row r="181" spans="1:23" x14ac:dyDescent="0.3">
      <c r="A181" s="67" t="s">
        <v>188</v>
      </c>
      <c r="B181" s="67" t="s">
        <v>191</v>
      </c>
      <c r="C181" s="68"/>
      <c r="D181" s="69"/>
      <c r="E181" s="68"/>
      <c r="F181" s="70"/>
      <c r="G181" s="68" t="s">
        <v>184</v>
      </c>
      <c r="H181" s="49"/>
      <c r="I181" s="50"/>
      <c r="J181" s="50"/>
      <c r="K181" s="51"/>
      <c r="L181" s="52">
        <v>181</v>
      </c>
      <c r="M18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1" s="53"/>
      <c r="O181" s="75" t="s">
        <v>406</v>
      </c>
      <c r="P181" s="75" t="s">
        <v>406</v>
      </c>
      <c r="Q181" s="75">
        <v>1</v>
      </c>
      <c r="R181" s="86">
        <v>42339</v>
      </c>
      <c r="S181" s="86">
        <f>EDATE(Edges[[#This Row],[Start
Time]],Edges[[#This Row],[Duración
(meses)]])</f>
        <v>42705</v>
      </c>
      <c r="T181" s="75">
        <v>12</v>
      </c>
      <c r="U181" s="76" t="s">
        <v>407</v>
      </c>
      <c r="V181" s="145"/>
      <c r="W181" s="145"/>
    </row>
    <row r="182" spans="1:23" x14ac:dyDescent="0.3">
      <c r="A182" s="67" t="s">
        <v>188</v>
      </c>
      <c r="B182" s="67" t="s">
        <v>198</v>
      </c>
      <c r="C182" s="68"/>
      <c r="D182" s="69"/>
      <c r="E182" s="68"/>
      <c r="F182" s="70"/>
      <c r="G182" s="68" t="s">
        <v>184</v>
      </c>
      <c r="H182" s="49"/>
      <c r="I182" s="50"/>
      <c r="J182" s="50"/>
      <c r="K182" s="51"/>
      <c r="L182" s="52">
        <v>182</v>
      </c>
      <c r="M18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2" s="53"/>
      <c r="O182" s="75" t="s">
        <v>416</v>
      </c>
      <c r="P182" s="75" t="s">
        <v>416</v>
      </c>
      <c r="Q182" s="75">
        <v>1</v>
      </c>
      <c r="R182" s="86">
        <v>42339</v>
      </c>
      <c r="S182" s="86">
        <f>EDATE(Edges[[#This Row],[Start
Time]],Edges[[#This Row],[Duración
(meses)]])</f>
        <v>42705</v>
      </c>
      <c r="T182" s="75">
        <v>12</v>
      </c>
      <c r="U182" s="76" t="s">
        <v>417</v>
      </c>
      <c r="V182" s="145"/>
      <c r="W182" s="145"/>
    </row>
    <row r="183" spans="1:23" x14ac:dyDescent="0.3">
      <c r="A183" s="67" t="s">
        <v>187</v>
      </c>
      <c r="B183" s="67" t="s">
        <v>220</v>
      </c>
      <c r="C183" s="68"/>
      <c r="D183" s="69"/>
      <c r="E183" s="68"/>
      <c r="F183" s="70"/>
      <c r="G183" s="68" t="s">
        <v>184</v>
      </c>
      <c r="H183" s="49"/>
      <c r="I183" s="50"/>
      <c r="J183" s="50"/>
      <c r="K183" s="51"/>
      <c r="L183" s="52">
        <v>183</v>
      </c>
      <c r="M18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3" s="53"/>
      <c r="O183" s="75" t="s">
        <v>400</v>
      </c>
      <c r="P183" s="75" t="s">
        <v>505</v>
      </c>
      <c r="Q183" s="75">
        <v>1</v>
      </c>
      <c r="R183" s="86">
        <v>42339</v>
      </c>
      <c r="S183" s="86">
        <f>EDATE(Edges[[#This Row],[Start
Time]],Edges[[#This Row],[Duración
(meses)]])</f>
        <v>42705</v>
      </c>
      <c r="T183" s="75">
        <v>12</v>
      </c>
      <c r="U183" s="76" t="s">
        <v>401</v>
      </c>
      <c r="V183" s="145"/>
      <c r="W183" s="145"/>
    </row>
    <row r="184" spans="1:23" x14ac:dyDescent="0.3">
      <c r="A184" s="67" t="s">
        <v>197</v>
      </c>
      <c r="B184" s="67" t="s">
        <v>206</v>
      </c>
      <c r="C184" s="68"/>
      <c r="D184" s="69"/>
      <c r="E184" s="68"/>
      <c r="F184" s="70"/>
      <c r="G184" s="68" t="s">
        <v>184</v>
      </c>
      <c r="H184" s="49"/>
      <c r="I184" s="50"/>
      <c r="J184" s="50"/>
      <c r="K184" s="51"/>
      <c r="L184" s="52">
        <v>184</v>
      </c>
      <c r="M18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4" s="53"/>
      <c r="O184" s="75" t="s">
        <v>422</v>
      </c>
      <c r="P184" s="75" t="s">
        <v>510</v>
      </c>
      <c r="Q184" s="75">
        <v>1</v>
      </c>
      <c r="R184" s="86">
        <v>42339</v>
      </c>
      <c r="S184" s="86">
        <f>EDATE(Edges[[#This Row],[Start
Time]],Edges[[#This Row],[Duración
(meses)]])</f>
        <v>43070</v>
      </c>
      <c r="T184" s="75">
        <v>24</v>
      </c>
      <c r="U184" s="76" t="s">
        <v>423</v>
      </c>
      <c r="V184" s="145"/>
      <c r="W184" s="145"/>
    </row>
    <row r="185" spans="1:23" x14ac:dyDescent="0.3">
      <c r="A185" s="67" t="s">
        <v>186</v>
      </c>
      <c r="B185" s="67" t="s">
        <v>785</v>
      </c>
      <c r="C185" s="68"/>
      <c r="D185" s="69"/>
      <c r="E185" s="68"/>
      <c r="F185" s="70"/>
      <c r="G185" s="68" t="s">
        <v>184</v>
      </c>
      <c r="H185" s="49"/>
      <c r="I185" s="50"/>
      <c r="J185" s="50"/>
      <c r="K185" s="51"/>
      <c r="L185" s="52">
        <v>185</v>
      </c>
      <c r="M18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5" s="53"/>
      <c r="O185" s="75" t="s">
        <v>244</v>
      </c>
      <c r="P185" s="75" t="s">
        <v>244</v>
      </c>
      <c r="Q185" s="75">
        <v>1</v>
      </c>
      <c r="R185" s="86">
        <v>42341</v>
      </c>
      <c r="S185" s="86">
        <f>EDATE(Edges[[#This Row],[Start
Time]],Edges[[#This Row],[Duración
(meses)]])</f>
        <v>43437</v>
      </c>
      <c r="T185" s="75">
        <v>36</v>
      </c>
      <c r="U185" s="76" t="s">
        <v>399</v>
      </c>
      <c r="V185" s="145"/>
      <c r="W185" s="145"/>
    </row>
    <row r="186" spans="1:23" x14ac:dyDescent="0.3">
      <c r="A186" s="67" t="s">
        <v>785</v>
      </c>
      <c r="B186" s="67" t="s">
        <v>220</v>
      </c>
      <c r="C186" s="68"/>
      <c r="D186" s="69"/>
      <c r="E186" s="68"/>
      <c r="F186" s="70"/>
      <c r="G186" s="68" t="s">
        <v>184</v>
      </c>
      <c r="H186" s="49"/>
      <c r="I186" s="50"/>
      <c r="J186" s="50"/>
      <c r="K186" s="51"/>
      <c r="L186" s="52">
        <v>186</v>
      </c>
      <c r="M18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6" s="53"/>
      <c r="O186" s="75" t="s">
        <v>244</v>
      </c>
      <c r="P186" s="75" t="s">
        <v>503</v>
      </c>
      <c r="Q186" s="75">
        <v>1</v>
      </c>
      <c r="R186" s="86">
        <v>42341</v>
      </c>
      <c r="S186" s="86">
        <f>EDATE(Edges[[#This Row],[Start
Time]],Edges[[#This Row],[Duración
(meses)]])</f>
        <v>43437</v>
      </c>
      <c r="T186" s="75">
        <v>36</v>
      </c>
      <c r="U186" s="76" t="s">
        <v>399</v>
      </c>
      <c r="V186" s="145"/>
      <c r="W186" s="145"/>
    </row>
    <row r="187" spans="1:23" x14ac:dyDescent="0.3">
      <c r="A187" s="67" t="s">
        <v>785</v>
      </c>
      <c r="B187" s="67" t="s">
        <v>246</v>
      </c>
      <c r="C187" s="68"/>
      <c r="D187" s="69"/>
      <c r="E187" s="68"/>
      <c r="F187" s="70"/>
      <c r="G187" s="68" t="s">
        <v>184</v>
      </c>
      <c r="H187" s="49"/>
      <c r="I187" s="50"/>
      <c r="J187" s="50"/>
      <c r="K187" s="51"/>
      <c r="L187" s="52">
        <v>187</v>
      </c>
      <c r="M18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7" s="53"/>
      <c r="O187" s="75" t="s">
        <v>244</v>
      </c>
      <c r="P187" s="75" t="s">
        <v>503</v>
      </c>
      <c r="Q187" s="75">
        <v>1</v>
      </c>
      <c r="R187" s="86">
        <v>42341</v>
      </c>
      <c r="S187" s="86">
        <f>EDATE(Edges[[#This Row],[Start
Time]],Edges[[#This Row],[Duración
(meses)]])</f>
        <v>43437</v>
      </c>
      <c r="T187" s="75">
        <v>36</v>
      </c>
      <c r="U187" s="76" t="s">
        <v>399</v>
      </c>
      <c r="V187" s="145"/>
      <c r="W187" s="145"/>
    </row>
    <row r="188" spans="1:23" x14ac:dyDescent="0.3">
      <c r="A188" s="67" t="s">
        <v>785</v>
      </c>
      <c r="B188" s="67" t="s">
        <v>247</v>
      </c>
      <c r="C188" s="68"/>
      <c r="D188" s="69"/>
      <c r="E188" s="68"/>
      <c r="F188" s="70"/>
      <c r="G188" s="68" t="s">
        <v>184</v>
      </c>
      <c r="H188" s="49"/>
      <c r="I188" s="50"/>
      <c r="J188" s="50"/>
      <c r="K188" s="51"/>
      <c r="L188" s="52">
        <v>188</v>
      </c>
      <c r="M18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8" s="53"/>
      <c r="O188" s="75" t="s">
        <v>244</v>
      </c>
      <c r="P188" s="75" t="s">
        <v>503</v>
      </c>
      <c r="Q188" s="75">
        <v>1</v>
      </c>
      <c r="R188" s="86">
        <v>42341</v>
      </c>
      <c r="S188" s="86">
        <f>EDATE(Edges[[#This Row],[Start
Time]],Edges[[#This Row],[Duración
(meses)]])</f>
        <v>43437</v>
      </c>
      <c r="T188" s="75">
        <v>36</v>
      </c>
      <c r="U188" s="76" t="s">
        <v>399</v>
      </c>
      <c r="V188" s="145"/>
      <c r="W188" s="145"/>
    </row>
    <row r="189" spans="1:23" x14ac:dyDescent="0.3">
      <c r="A189" s="67" t="s">
        <v>785</v>
      </c>
      <c r="B189" s="67" t="s">
        <v>248</v>
      </c>
      <c r="C189" s="68"/>
      <c r="D189" s="69"/>
      <c r="E189" s="68"/>
      <c r="F189" s="70"/>
      <c r="G189" s="68" t="s">
        <v>184</v>
      </c>
      <c r="H189" s="49"/>
      <c r="I189" s="50"/>
      <c r="J189" s="50"/>
      <c r="K189" s="51"/>
      <c r="L189" s="52">
        <v>189</v>
      </c>
      <c r="M18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89" s="53"/>
      <c r="O189" s="75" t="s">
        <v>244</v>
      </c>
      <c r="P189" s="75" t="s">
        <v>503</v>
      </c>
      <c r="Q189" s="75">
        <v>1</v>
      </c>
      <c r="R189" s="86">
        <v>42341</v>
      </c>
      <c r="S189" s="86">
        <f>EDATE(Edges[[#This Row],[Start
Time]],Edges[[#This Row],[Duración
(meses)]])</f>
        <v>43437</v>
      </c>
      <c r="T189" s="75">
        <v>36</v>
      </c>
      <c r="U189" s="76" t="s">
        <v>399</v>
      </c>
      <c r="V189" s="145"/>
      <c r="W189" s="145"/>
    </row>
    <row r="190" spans="1:23" x14ac:dyDescent="0.3">
      <c r="A190" s="67" t="s">
        <v>785</v>
      </c>
      <c r="B190" s="67" t="s">
        <v>249</v>
      </c>
      <c r="C190" s="68"/>
      <c r="D190" s="69"/>
      <c r="E190" s="68"/>
      <c r="F190" s="70"/>
      <c r="G190" s="68" t="s">
        <v>184</v>
      </c>
      <c r="H190" s="49"/>
      <c r="I190" s="50"/>
      <c r="J190" s="50"/>
      <c r="K190" s="51"/>
      <c r="L190" s="52">
        <v>190</v>
      </c>
      <c r="M19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0" s="53"/>
      <c r="O190" s="75" t="s">
        <v>244</v>
      </c>
      <c r="P190" s="75" t="s">
        <v>503</v>
      </c>
      <c r="Q190" s="75">
        <v>1</v>
      </c>
      <c r="R190" s="86">
        <v>42341</v>
      </c>
      <c r="S190" s="86">
        <f>EDATE(Edges[[#This Row],[Start
Time]],Edges[[#This Row],[Duración
(meses)]])</f>
        <v>43437</v>
      </c>
      <c r="T190" s="75">
        <v>36</v>
      </c>
      <c r="U190" s="76" t="s">
        <v>399</v>
      </c>
      <c r="V190" s="145"/>
      <c r="W190" s="145"/>
    </row>
    <row r="191" spans="1:23" x14ac:dyDescent="0.3">
      <c r="A191" s="67" t="s">
        <v>785</v>
      </c>
      <c r="B191" s="67" t="s">
        <v>250</v>
      </c>
      <c r="C191" s="68"/>
      <c r="D191" s="69"/>
      <c r="E191" s="68"/>
      <c r="F191" s="70"/>
      <c r="G191" s="68" t="s">
        <v>184</v>
      </c>
      <c r="H191" s="49"/>
      <c r="I191" s="50"/>
      <c r="J191" s="50"/>
      <c r="K191" s="51"/>
      <c r="L191" s="52">
        <v>191</v>
      </c>
      <c r="M19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1" s="53"/>
      <c r="O191" s="75" t="s">
        <v>244</v>
      </c>
      <c r="P191" s="75" t="s">
        <v>504</v>
      </c>
      <c r="Q191" s="75">
        <v>1</v>
      </c>
      <c r="R191" s="86">
        <v>42341</v>
      </c>
      <c r="S191" s="86">
        <f>EDATE(Edges[[#This Row],[Start
Time]],Edges[[#This Row],[Duración
(meses)]])</f>
        <v>43437</v>
      </c>
      <c r="T191" s="75">
        <v>36</v>
      </c>
      <c r="U191" s="76" t="s">
        <v>399</v>
      </c>
      <c r="V191" s="145"/>
      <c r="W191" s="145"/>
    </row>
    <row r="192" spans="1:23" x14ac:dyDescent="0.3">
      <c r="A192" s="67" t="s">
        <v>785</v>
      </c>
      <c r="B192" s="67" t="s">
        <v>251</v>
      </c>
      <c r="C192" s="68"/>
      <c r="D192" s="69"/>
      <c r="E192" s="68"/>
      <c r="F192" s="70"/>
      <c r="G192" s="68" t="s">
        <v>184</v>
      </c>
      <c r="H192" s="49"/>
      <c r="I192" s="50"/>
      <c r="J192" s="50"/>
      <c r="K192" s="51"/>
      <c r="L192" s="52">
        <v>192</v>
      </c>
      <c r="M19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2" s="53"/>
      <c r="O192" s="75" t="s">
        <v>244</v>
      </c>
      <c r="P192" s="75" t="s">
        <v>504</v>
      </c>
      <c r="Q192" s="75">
        <v>1</v>
      </c>
      <c r="R192" s="86">
        <v>42341</v>
      </c>
      <c r="S192" s="86">
        <f>EDATE(Edges[[#This Row],[Start
Time]],Edges[[#This Row],[Duración
(meses)]])</f>
        <v>43437</v>
      </c>
      <c r="T192" s="75">
        <v>36</v>
      </c>
      <c r="U192" s="76" t="s">
        <v>399</v>
      </c>
      <c r="V192" s="145"/>
      <c r="W192" s="145"/>
    </row>
    <row r="193" spans="1:23" x14ac:dyDescent="0.3">
      <c r="A193" s="67" t="s">
        <v>785</v>
      </c>
      <c r="B193" s="67" t="s">
        <v>252</v>
      </c>
      <c r="C193" s="68"/>
      <c r="D193" s="69"/>
      <c r="E193" s="68"/>
      <c r="F193" s="70"/>
      <c r="G193" s="68" t="s">
        <v>184</v>
      </c>
      <c r="H193" s="49"/>
      <c r="I193" s="50"/>
      <c r="J193" s="50"/>
      <c r="K193" s="51"/>
      <c r="L193" s="52">
        <v>193</v>
      </c>
      <c r="M19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3" s="53"/>
      <c r="O193" s="75" t="s">
        <v>244</v>
      </c>
      <c r="P193" s="75" t="s">
        <v>504</v>
      </c>
      <c r="Q193" s="75">
        <v>1</v>
      </c>
      <c r="R193" s="86">
        <v>42341</v>
      </c>
      <c r="S193" s="86">
        <f>EDATE(Edges[[#This Row],[Start
Time]],Edges[[#This Row],[Duración
(meses)]])</f>
        <v>43437</v>
      </c>
      <c r="T193" s="75">
        <v>36</v>
      </c>
      <c r="U193" s="76" t="s">
        <v>399</v>
      </c>
      <c r="V193" s="145"/>
      <c r="W193" s="145"/>
    </row>
    <row r="194" spans="1:23" x14ac:dyDescent="0.3">
      <c r="A194" s="67" t="s">
        <v>346</v>
      </c>
      <c r="B194" s="67" t="s">
        <v>345</v>
      </c>
      <c r="C194" s="68" t="s">
        <v>347</v>
      </c>
      <c r="D194" s="69"/>
      <c r="E194" s="68" t="s">
        <v>133</v>
      </c>
      <c r="F194" s="70"/>
      <c r="G194" s="68" t="s">
        <v>184</v>
      </c>
      <c r="H194" s="49"/>
      <c r="I194" s="50"/>
      <c r="J194" s="50"/>
      <c r="K194" s="51"/>
      <c r="L194" s="52">
        <v>194</v>
      </c>
      <c r="M19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4" s="53"/>
      <c r="O194" s="75"/>
      <c r="P194" s="75" t="s">
        <v>556</v>
      </c>
      <c r="Q194" s="75"/>
      <c r="R194" s="86">
        <v>42317</v>
      </c>
      <c r="S194" s="86"/>
      <c r="T194" s="75"/>
      <c r="U194" s="76"/>
      <c r="V194" s="145"/>
      <c r="W194" s="145"/>
    </row>
    <row r="195" spans="1:23" x14ac:dyDescent="0.3">
      <c r="A195" s="67" t="s">
        <v>785</v>
      </c>
      <c r="B195" s="67" t="s">
        <v>253</v>
      </c>
      <c r="C195" s="68"/>
      <c r="D195" s="69"/>
      <c r="E195" s="68"/>
      <c r="F195" s="70"/>
      <c r="G195" s="68" t="s">
        <v>184</v>
      </c>
      <c r="H195" s="49"/>
      <c r="I195" s="50"/>
      <c r="J195" s="50"/>
      <c r="K195" s="51"/>
      <c r="L195" s="52">
        <v>195</v>
      </c>
      <c r="M19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5" s="53"/>
      <c r="O195" s="75" t="s">
        <v>244</v>
      </c>
      <c r="P195" s="75" t="s">
        <v>504</v>
      </c>
      <c r="Q195" s="75">
        <v>1</v>
      </c>
      <c r="R195" s="86">
        <v>42341</v>
      </c>
      <c r="S195" s="86">
        <f>EDATE(Edges[[#This Row],[Start
Time]],Edges[[#This Row],[Duración
(meses)]])</f>
        <v>43437</v>
      </c>
      <c r="T195" s="75">
        <v>36</v>
      </c>
      <c r="U195" s="76" t="s">
        <v>399</v>
      </c>
      <c r="V195" s="145"/>
      <c r="W195" s="145"/>
    </row>
    <row r="196" spans="1:23" x14ac:dyDescent="0.3">
      <c r="A196" s="67" t="s">
        <v>185</v>
      </c>
      <c r="B196" s="67" t="s">
        <v>186</v>
      </c>
      <c r="C196" s="68"/>
      <c r="D196" s="69"/>
      <c r="E196" s="68"/>
      <c r="F196" s="70"/>
      <c r="G196" s="68" t="s">
        <v>184</v>
      </c>
      <c r="H196" s="49"/>
      <c r="I196" s="50"/>
      <c r="J196" s="50"/>
      <c r="K196" s="51"/>
      <c r="L196" s="52">
        <v>196</v>
      </c>
      <c r="M19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6" s="53"/>
      <c r="O196" s="75" t="s">
        <v>244</v>
      </c>
      <c r="P196" s="75" t="s">
        <v>244</v>
      </c>
      <c r="Q196" s="75">
        <v>1</v>
      </c>
      <c r="R196" s="86">
        <v>42341</v>
      </c>
      <c r="S196" s="86">
        <f>EDATE(Edges[[#This Row],[Start
Time]],Edges[[#This Row],[Duración
(meses)]])</f>
        <v>43437</v>
      </c>
      <c r="T196" s="75">
        <v>36</v>
      </c>
      <c r="U196" s="76" t="s">
        <v>399</v>
      </c>
      <c r="V196" s="145" t="str">
        <f>REPLACE(INDEX(GroupVertices[Group], MATCH(Edges[[#This Row],[Vertex 1]],GroupVertices[Vertex],0)),1,1,"")</f>
        <v>1</v>
      </c>
      <c r="W196" s="145" t="str">
        <f>REPLACE(INDEX(GroupVertices[Group], MATCH(Edges[[#This Row],[Vertex 2]],GroupVertices[Vertex],0)),1,1,"")</f>
        <v>1</v>
      </c>
    </row>
    <row r="197" spans="1:23" x14ac:dyDescent="0.3">
      <c r="A197" s="67" t="s">
        <v>785</v>
      </c>
      <c r="B197" s="67" t="s">
        <v>245</v>
      </c>
      <c r="C197" s="68"/>
      <c r="D197" s="69"/>
      <c r="E197" s="68"/>
      <c r="F197" s="70"/>
      <c r="G197" s="68" t="s">
        <v>184</v>
      </c>
      <c r="H197" s="49"/>
      <c r="I197" s="50"/>
      <c r="J197" s="50"/>
      <c r="K197" s="51"/>
      <c r="L197" s="52">
        <v>197</v>
      </c>
      <c r="M19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7" s="53"/>
      <c r="O197" s="75" t="s">
        <v>244</v>
      </c>
      <c r="P197" s="75" t="s">
        <v>503</v>
      </c>
      <c r="Q197" s="75">
        <v>1</v>
      </c>
      <c r="R197" s="86">
        <v>42341</v>
      </c>
      <c r="S197" s="86">
        <f>EDATE(Edges[[#This Row],[Start
Time]],Edges[[#This Row],[Duración
(meses)]])</f>
        <v>43437</v>
      </c>
      <c r="T197" s="75">
        <v>36</v>
      </c>
      <c r="U197" s="76" t="s">
        <v>399</v>
      </c>
      <c r="V197" s="145"/>
      <c r="W197" s="145"/>
    </row>
    <row r="198" spans="1:23" x14ac:dyDescent="0.3">
      <c r="A198" s="67" t="s">
        <v>206</v>
      </c>
      <c r="B198" s="67" t="s">
        <v>254</v>
      </c>
      <c r="C198" s="68"/>
      <c r="D198" s="69"/>
      <c r="E198" s="68" t="s">
        <v>133</v>
      </c>
      <c r="F198" s="70"/>
      <c r="G198" s="68" t="s">
        <v>184</v>
      </c>
      <c r="H198" s="49"/>
      <c r="I198" s="50"/>
      <c r="J198" s="50"/>
      <c r="K198" s="51"/>
      <c r="L198" s="52">
        <v>198</v>
      </c>
      <c r="M19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8" s="53"/>
      <c r="O198" s="75" t="s">
        <v>432</v>
      </c>
      <c r="P198" s="75" t="s">
        <v>507</v>
      </c>
      <c r="Q198" s="75">
        <v>1</v>
      </c>
      <c r="R198" s="86">
        <v>42353</v>
      </c>
      <c r="S198" s="86">
        <f>EDATE(Edges[[#This Row],[Start
Time]],Edges[[#This Row],[Duración
(meses)]])</f>
        <v>43084</v>
      </c>
      <c r="T198" s="75">
        <v>24</v>
      </c>
      <c r="U198" s="76" t="s">
        <v>433</v>
      </c>
      <c r="V198" s="145" t="str">
        <f>REPLACE(INDEX(GroupVertices[Group], MATCH(Edges[[#This Row],[Vertex 1]],GroupVertices[Vertex],0)),1,1,"")</f>
        <v>2</v>
      </c>
      <c r="W198" s="145" t="str">
        <f>REPLACE(INDEX(GroupVertices[Group], MATCH(Edges[[#This Row],[Vertex 2]],GroupVertices[Vertex],0)),1,1,"")</f>
        <v>2</v>
      </c>
    </row>
    <row r="199" spans="1:23" x14ac:dyDescent="0.3">
      <c r="A199" s="67" t="s">
        <v>190</v>
      </c>
      <c r="B199" s="67" t="s">
        <v>254</v>
      </c>
      <c r="C199" s="68"/>
      <c r="D199" s="69"/>
      <c r="E199" s="68"/>
      <c r="F199" s="70"/>
      <c r="G199" s="68" t="s">
        <v>184</v>
      </c>
      <c r="H199" s="49"/>
      <c r="I199" s="50"/>
      <c r="J199" s="50"/>
      <c r="K199" s="51"/>
      <c r="L199" s="52">
        <v>199</v>
      </c>
      <c r="M19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199" s="53"/>
      <c r="O199" s="75" t="s">
        <v>404</v>
      </c>
      <c r="P199" s="75" t="s">
        <v>506</v>
      </c>
      <c r="Q199" s="75">
        <v>1</v>
      </c>
      <c r="R199" s="86">
        <v>42353</v>
      </c>
      <c r="S199" s="86">
        <f>EDATE(Edges[[#This Row],[Start
Time]],Edges[[#This Row],[Duración
(meses)]])</f>
        <v>42719</v>
      </c>
      <c r="T199" s="75">
        <v>12</v>
      </c>
      <c r="U199" s="76" t="s">
        <v>405</v>
      </c>
      <c r="V199" s="145"/>
      <c r="W199" s="145"/>
    </row>
    <row r="200" spans="1:23" x14ac:dyDescent="0.3">
      <c r="A200" s="67" t="s">
        <v>182</v>
      </c>
      <c r="B200" s="67" t="s">
        <v>203</v>
      </c>
      <c r="C200" s="68"/>
      <c r="D200" s="69"/>
      <c r="E200" s="68"/>
      <c r="F200" s="70"/>
      <c r="G200" s="68" t="s">
        <v>184</v>
      </c>
      <c r="H200" s="49"/>
      <c r="I200" s="50"/>
      <c r="J200" s="50"/>
      <c r="K200" s="51"/>
      <c r="L200" s="52">
        <v>200</v>
      </c>
      <c r="M20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0" s="53"/>
      <c r="O200" s="75" t="s">
        <v>426</v>
      </c>
      <c r="P200" s="75" t="s">
        <v>426</v>
      </c>
      <c r="Q200" s="75">
        <v>1</v>
      </c>
      <c r="R200" s="86">
        <v>42353</v>
      </c>
      <c r="S200" s="86">
        <f>EDATE(Edges[[#This Row],[Start
Time]],Edges[[#This Row],[Duración
(meses)]])</f>
        <v>42901</v>
      </c>
      <c r="T200" s="75">
        <v>18</v>
      </c>
      <c r="U200" s="76" t="s">
        <v>427</v>
      </c>
      <c r="V200" s="145"/>
      <c r="W200" s="145"/>
    </row>
    <row r="201" spans="1:23" x14ac:dyDescent="0.3">
      <c r="A201" s="67" t="s">
        <v>182</v>
      </c>
      <c r="B201" s="67" t="s">
        <v>190</v>
      </c>
      <c r="C201" s="68"/>
      <c r="D201" s="69"/>
      <c r="E201" s="68"/>
      <c r="F201" s="70"/>
      <c r="G201" s="68" t="s">
        <v>184</v>
      </c>
      <c r="H201" s="49"/>
      <c r="I201" s="50"/>
      <c r="J201" s="50"/>
      <c r="K201" s="51"/>
      <c r="L201" s="52">
        <v>201</v>
      </c>
      <c r="M20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1" s="53"/>
      <c r="O201" s="75" t="s">
        <v>404</v>
      </c>
      <c r="P201" s="75" t="s">
        <v>404</v>
      </c>
      <c r="Q201" s="75">
        <v>1</v>
      </c>
      <c r="R201" s="86">
        <v>42353</v>
      </c>
      <c r="S201" s="86">
        <f>EDATE(Edges[[#This Row],[Start
Time]],Edges[[#This Row],[Duración
(meses)]])</f>
        <v>42719</v>
      </c>
      <c r="T201" s="75">
        <v>12</v>
      </c>
      <c r="U201" s="76" t="s">
        <v>405</v>
      </c>
      <c r="V201" s="145"/>
      <c r="W201" s="145"/>
    </row>
    <row r="202" spans="1:23" x14ac:dyDescent="0.3">
      <c r="A202" s="67" t="s">
        <v>182</v>
      </c>
      <c r="B202" s="67" t="s">
        <v>206</v>
      </c>
      <c r="C202" s="68"/>
      <c r="D202" s="69"/>
      <c r="E202" s="68"/>
      <c r="F202" s="70"/>
      <c r="G202" s="68" t="s">
        <v>184</v>
      </c>
      <c r="H202" s="49"/>
      <c r="I202" s="50"/>
      <c r="J202" s="50"/>
      <c r="K202" s="51"/>
      <c r="L202" s="52">
        <v>202</v>
      </c>
      <c r="M20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2" s="53"/>
      <c r="O202" s="75" t="s">
        <v>432</v>
      </c>
      <c r="P202" s="75" t="s">
        <v>432</v>
      </c>
      <c r="Q202" s="75">
        <v>1</v>
      </c>
      <c r="R202" s="86">
        <v>42353</v>
      </c>
      <c r="S202" s="86">
        <f>EDATE(Edges[[#This Row],[Start
Time]],Edges[[#This Row],[Duración
(meses)]])</f>
        <v>43084</v>
      </c>
      <c r="T202" s="75">
        <v>24</v>
      </c>
      <c r="U202" s="76" t="s">
        <v>433</v>
      </c>
      <c r="V202" s="145"/>
      <c r="W202" s="145"/>
    </row>
    <row r="203" spans="1:23" x14ac:dyDescent="0.3">
      <c r="A203" s="67" t="s">
        <v>188</v>
      </c>
      <c r="B203" s="67" t="s">
        <v>189</v>
      </c>
      <c r="C203" s="68"/>
      <c r="D203" s="69"/>
      <c r="E203" s="68"/>
      <c r="F203" s="70"/>
      <c r="G203" s="68" t="s">
        <v>184</v>
      </c>
      <c r="H203" s="49"/>
      <c r="I203" s="50"/>
      <c r="J203" s="50"/>
      <c r="K203" s="51"/>
      <c r="L203" s="52">
        <v>203</v>
      </c>
      <c r="M20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3" s="53"/>
      <c r="O203" s="75" t="s">
        <v>402</v>
      </c>
      <c r="P203" s="75" t="s">
        <v>402</v>
      </c>
      <c r="Q203" s="75">
        <v>1</v>
      </c>
      <c r="R203" s="86">
        <v>42353</v>
      </c>
      <c r="S203" s="86">
        <f>EDATE(Edges[[#This Row],[Start
Time]],Edges[[#This Row],[Duración
(meses)]])</f>
        <v>42719</v>
      </c>
      <c r="T203" s="75">
        <v>12</v>
      </c>
      <c r="U203" s="76" t="s">
        <v>403</v>
      </c>
      <c r="V203" s="145"/>
      <c r="W203" s="145"/>
    </row>
    <row r="204" spans="1:23" x14ac:dyDescent="0.3">
      <c r="A204" s="67" t="s">
        <v>316</v>
      </c>
      <c r="B204" s="67" t="s">
        <v>193</v>
      </c>
      <c r="C204" s="68"/>
      <c r="D204" s="69"/>
      <c r="E204" s="68"/>
      <c r="F204" s="70"/>
      <c r="G204" s="68" t="s">
        <v>184</v>
      </c>
      <c r="H204" s="49"/>
      <c r="I204" s="50"/>
      <c r="J204" s="50"/>
      <c r="K204" s="51"/>
      <c r="L204" s="52">
        <v>204</v>
      </c>
      <c r="M20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4" s="53"/>
      <c r="O204" s="75"/>
      <c r="P204" s="75"/>
      <c r="Q204" s="75"/>
      <c r="R204" s="86">
        <v>42036</v>
      </c>
      <c r="S204" s="86"/>
      <c r="T204" s="75"/>
      <c r="U204" s="76"/>
      <c r="V204" s="145"/>
      <c r="W204" s="145"/>
    </row>
    <row r="205" spans="1:23" x14ac:dyDescent="0.3">
      <c r="A205" s="67" t="s">
        <v>357</v>
      </c>
      <c r="B205" s="67" t="s">
        <v>222</v>
      </c>
      <c r="C205" s="68" t="s">
        <v>347</v>
      </c>
      <c r="D205" s="69"/>
      <c r="E205" s="68" t="s">
        <v>133</v>
      </c>
      <c r="F205" s="70"/>
      <c r="G205" s="68" t="s">
        <v>184</v>
      </c>
      <c r="H205" s="49"/>
      <c r="I205" s="50"/>
      <c r="J205" s="50"/>
      <c r="K205" s="51"/>
      <c r="L205" s="52">
        <v>205</v>
      </c>
      <c r="M20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5" s="53"/>
      <c r="O205" s="75"/>
      <c r="P205" s="75" t="s">
        <v>558</v>
      </c>
      <c r="Q205" s="75"/>
      <c r="R205" s="86">
        <v>42032</v>
      </c>
      <c r="S205" s="86"/>
      <c r="T205" s="75"/>
      <c r="U205" s="76"/>
      <c r="V205" s="145"/>
      <c r="W205" s="145"/>
    </row>
    <row r="206" spans="1:23" x14ac:dyDescent="0.3">
      <c r="A206" s="67" t="s">
        <v>357</v>
      </c>
      <c r="B206" s="67" t="s">
        <v>358</v>
      </c>
      <c r="C206" s="68" t="s">
        <v>347</v>
      </c>
      <c r="D206" s="69"/>
      <c r="E206" s="68" t="s">
        <v>133</v>
      </c>
      <c r="F206" s="70"/>
      <c r="G206" s="68" t="s">
        <v>184</v>
      </c>
      <c r="H206" s="49"/>
      <c r="I206" s="50"/>
      <c r="J206" s="50"/>
      <c r="K206" s="51"/>
      <c r="L206" s="52">
        <v>206</v>
      </c>
      <c r="M20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6" s="53"/>
      <c r="O206" s="75"/>
      <c r="P206" s="75" t="s">
        <v>558</v>
      </c>
      <c r="Q206" s="75"/>
      <c r="R206" s="86">
        <v>42032</v>
      </c>
      <c r="S206" s="86"/>
      <c r="T206" s="75"/>
      <c r="U206" s="76"/>
      <c r="V206" s="145"/>
      <c r="W206" s="145"/>
    </row>
    <row r="207" spans="1:23" x14ac:dyDescent="0.3">
      <c r="A207" s="67" t="s">
        <v>357</v>
      </c>
      <c r="B207" s="67" t="s">
        <v>250</v>
      </c>
      <c r="C207" s="68" t="s">
        <v>347</v>
      </c>
      <c r="D207" s="69"/>
      <c r="E207" s="68" t="s">
        <v>133</v>
      </c>
      <c r="F207" s="70"/>
      <c r="G207" s="68" t="s">
        <v>184</v>
      </c>
      <c r="H207" s="49"/>
      <c r="I207" s="50"/>
      <c r="J207" s="50"/>
      <c r="K207" s="51"/>
      <c r="L207" s="52">
        <v>207</v>
      </c>
      <c r="M20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7" s="53"/>
      <c r="O207" s="75"/>
      <c r="P207" s="75" t="s">
        <v>558</v>
      </c>
      <c r="Q207" s="75"/>
      <c r="R207" s="86">
        <v>42032</v>
      </c>
      <c r="S207" s="86"/>
      <c r="T207" s="75"/>
      <c r="U207" s="76"/>
      <c r="V207" s="145"/>
      <c r="W207" s="145"/>
    </row>
    <row r="208" spans="1:23" x14ac:dyDescent="0.3">
      <c r="A208" s="67" t="s">
        <v>357</v>
      </c>
      <c r="B208" s="67" t="s">
        <v>275</v>
      </c>
      <c r="C208" s="68" t="s">
        <v>347</v>
      </c>
      <c r="D208" s="69"/>
      <c r="E208" s="68" t="s">
        <v>133</v>
      </c>
      <c r="F208" s="70"/>
      <c r="G208" s="68" t="s">
        <v>184</v>
      </c>
      <c r="H208" s="49"/>
      <c r="I208" s="50"/>
      <c r="J208" s="50"/>
      <c r="K208" s="51"/>
      <c r="L208" s="52">
        <v>208</v>
      </c>
      <c r="M20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8" s="53"/>
      <c r="O208" s="75"/>
      <c r="P208" s="75" t="s">
        <v>558</v>
      </c>
      <c r="Q208" s="75"/>
      <c r="R208" s="86">
        <v>42032</v>
      </c>
      <c r="S208" s="86"/>
      <c r="T208" s="75"/>
      <c r="U208" s="76"/>
      <c r="V208" s="145"/>
      <c r="W208" s="145"/>
    </row>
    <row r="209" spans="1:23" x14ac:dyDescent="0.3">
      <c r="A209" s="67" t="s">
        <v>357</v>
      </c>
      <c r="B209" s="67" t="s">
        <v>359</v>
      </c>
      <c r="C209" s="68" t="s">
        <v>347</v>
      </c>
      <c r="D209" s="69"/>
      <c r="E209" s="68" t="s">
        <v>133</v>
      </c>
      <c r="F209" s="70"/>
      <c r="G209" s="68" t="s">
        <v>184</v>
      </c>
      <c r="H209" s="49"/>
      <c r="I209" s="50"/>
      <c r="J209" s="50"/>
      <c r="K209" s="51"/>
      <c r="L209" s="52">
        <v>209</v>
      </c>
      <c r="M20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09" s="53"/>
      <c r="O209" s="75"/>
      <c r="P209" s="75" t="s">
        <v>558</v>
      </c>
      <c r="Q209" s="75"/>
      <c r="R209" s="86">
        <v>42032</v>
      </c>
      <c r="S209" s="86"/>
      <c r="T209" s="75"/>
      <c r="U209" s="76"/>
      <c r="V209" s="145"/>
      <c r="W209" s="145"/>
    </row>
    <row r="210" spans="1:23" x14ac:dyDescent="0.3">
      <c r="A210" s="67" t="s">
        <v>357</v>
      </c>
      <c r="B210" s="67" t="s">
        <v>360</v>
      </c>
      <c r="C210" s="79" t="s">
        <v>347</v>
      </c>
      <c r="D210" s="80"/>
      <c r="E210" s="79" t="s">
        <v>133</v>
      </c>
      <c r="F210" s="81"/>
      <c r="G210" s="79" t="s">
        <v>184</v>
      </c>
      <c r="H210" s="82"/>
      <c r="I210" s="83"/>
      <c r="J210" s="83"/>
      <c r="K210" s="84"/>
      <c r="L210" s="85">
        <v>210</v>
      </c>
      <c r="M210" s="8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0" s="53"/>
      <c r="O210" s="75"/>
      <c r="P210" s="75" t="s">
        <v>558</v>
      </c>
      <c r="Q210" s="75"/>
      <c r="R210" s="86">
        <v>42032</v>
      </c>
      <c r="S210" s="86"/>
      <c r="T210" s="75"/>
      <c r="U210" s="76"/>
      <c r="V210" s="145"/>
      <c r="W210" s="145"/>
    </row>
    <row r="211" spans="1:23" x14ac:dyDescent="0.3">
      <c r="A211" s="67" t="s">
        <v>357</v>
      </c>
      <c r="B211" s="67" t="s">
        <v>311</v>
      </c>
      <c r="C211" s="68" t="s">
        <v>347</v>
      </c>
      <c r="D211" s="69"/>
      <c r="E211" s="68" t="s">
        <v>133</v>
      </c>
      <c r="F211" s="70"/>
      <c r="G211" s="68" t="s">
        <v>184</v>
      </c>
      <c r="H211" s="49"/>
      <c r="I211" s="50"/>
      <c r="J211" s="50"/>
      <c r="K211" s="51"/>
      <c r="L211" s="52">
        <v>211</v>
      </c>
      <c r="M21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1" s="53"/>
      <c r="O211" s="75"/>
      <c r="P211" s="75" t="s">
        <v>558</v>
      </c>
      <c r="Q211" s="75"/>
      <c r="R211" s="86">
        <v>42032</v>
      </c>
      <c r="S211" s="86"/>
      <c r="T211" s="75"/>
      <c r="U211" s="76"/>
      <c r="V211" s="145"/>
      <c r="W211" s="145"/>
    </row>
    <row r="212" spans="1:23" x14ac:dyDescent="0.3">
      <c r="A212" s="67" t="s">
        <v>357</v>
      </c>
      <c r="B212" s="67" t="s">
        <v>361</v>
      </c>
      <c r="C212" s="68" t="s">
        <v>347</v>
      </c>
      <c r="D212" s="69"/>
      <c r="E212" s="68" t="s">
        <v>133</v>
      </c>
      <c r="F212" s="70"/>
      <c r="G212" s="68" t="s">
        <v>184</v>
      </c>
      <c r="H212" s="49"/>
      <c r="I212" s="50"/>
      <c r="J212" s="50"/>
      <c r="K212" s="51"/>
      <c r="L212" s="52">
        <v>212</v>
      </c>
      <c r="M21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2" s="53"/>
      <c r="O212" s="75"/>
      <c r="P212" s="75" t="s">
        <v>558</v>
      </c>
      <c r="Q212" s="75"/>
      <c r="R212" s="86">
        <v>42032</v>
      </c>
      <c r="S212" s="86"/>
      <c r="T212" s="75"/>
      <c r="U212" s="76"/>
      <c r="V212" s="145"/>
      <c r="W212" s="145"/>
    </row>
    <row r="213" spans="1:23" x14ac:dyDescent="0.3">
      <c r="A213" s="67" t="s">
        <v>357</v>
      </c>
      <c r="B213" s="67" t="s">
        <v>198</v>
      </c>
      <c r="C213" s="68" t="s">
        <v>347</v>
      </c>
      <c r="D213" s="69"/>
      <c r="E213" s="68" t="s">
        <v>133</v>
      </c>
      <c r="F213" s="70"/>
      <c r="G213" s="68" t="s">
        <v>184</v>
      </c>
      <c r="H213" s="49"/>
      <c r="I213" s="50"/>
      <c r="J213" s="50"/>
      <c r="K213" s="51"/>
      <c r="L213" s="52">
        <v>213</v>
      </c>
      <c r="M21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3" s="53"/>
      <c r="O213" s="75"/>
      <c r="P213" s="75" t="s">
        <v>558</v>
      </c>
      <c r="Q213" s="75"/>
      <c r="R213" s="86">
        <v>42032</v>
      </c>
      <c r="S213" s="86"/>
      <c r="T213" s="75"/>
      <c r="U213" s="76"/>
      <c r="V213" s="145"/>
      <c r="W213" s="145"/>
    </row>
    <row r="214" spans="1:23" x14ac:dyDescent="0.3">
      <c r="A214" s="67" t="s">
        <v>312</v>
      </c>
      <c r="B214" s="67" t="s">
        <v>297</v>
      </c>
      <c r="C214" s="68"/>
      <c r="D214" s="69"/>
      <c r="E214" s="68"/>
      <c r="F214" s="70"/>
      <c r="G214" s="68" t="s">
        <v>184</v>
      </c>
      <c r="H214" s="49"/>
      <c r="I214" s="50"/>
      <c r="J214" s="50"/>
      <c r="K214" s="51"/>
      <c r="L214" s="52">
        <v>214</v>
      </c>
      <c r="M21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4" s="53"/>
      <c r="O214" s="75" t="s">
        <v>457</v>
      </c>
      <c r="P214" s="75" t="s">
        <v>539</v>
      </c>
      <c r="Q214" s="75">
        <v>1</v>
      </c>
      <c r="R214" s="86">
        <v>42824</v>
      </c>
      <c r="S214" s="86">
        <f>EDATE(Edges[[#This Row],[Start
Time]],Edges[[#This Row],[Duración
(meses)]])</f>
        <v>43189</v>
      </c>
      <c r="T214" s="75">
        <v>12</v>
      </c>
      <c r="U214" s="76" t="s">
        <v>458</v>
      </c>
      <c r="V214" s="145"/>
      <c r="W214" s="145"/>
    </row>
    <row r="215" spans="1:23" x14ac:dyDescent="0.3">
      <c r="A215" s="67" t="s">
        <v>312</v>
      </c>
      <c r="B215" s="67" t="s">
        <v>313</v>
      </c>
      <c r="C215" s="68"/>
      <c r="D215" s="69"/>
      <c r="E215" s="68"/>
      <c r="F215" s="70"/>
      <c r="G215" s="68" t="s">
        <v>184</v>
      </c>
      <c r="H215" s="49"/>
      <c r="I215" s="50"/>
      <c r="J215" s="50"/>
      <c r="K215" s="51"/>
      <c r="L215" s="52">
        <v>215</v>
      </c>
      <c r="M21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5" s="53"/>
      <c r="O215" s="75" t="s">
        <v>457</v>
      </c>
      <c r="P215" s="75" t="s">
        <v>539</v>
      </c>
      <c r="Q215" s="75">
        <v>1</v>
      </c>
      <c r="R215" s="86">
        <v>42824</v>
      </c>
      <c r="S215" s="86">
        <f>EDATE(Edges[[#This Row],[Start
Time]],Edges[[#This Row],[Duración
(meses)]])</f>
        <v>43189</v>
      </c>
      <c r="T215" s="75">
        <v>12</v>
      </c>
      <c r="U215" s="76" t="s">
        <v>458</v>
      </c>
      <c r="V215" s="145"/>
      <c r="W215" s="145"/>
    </row>
    <row r="216" spans="1:23" x14ac:dyDescent="0.3">
      <c r="A216" s="67" t="s">
        <v>312</v>
      </c>
      <c r="B216" s="67" t="s">
        <v>314</v>
      </c>
      <c r="C216" s="68"/>
      <c r="D216" s="69"/>
      <c r="E216" s="68"/>
      <c r="F216" s="70"/>
      <c r="G216" s="68" t="s">
        <v>184</v>
      </c>
      <c r="H216" s="49"/>
      <c r="I216" s="50"/>
      <c r="J216" s="50"/>
      <c r="K216" s="51"/>
      <c r="L216" s="52">
        <v>216</v>
      </c>
      <c r="M21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6" s="53"/>
      <c r="O216" s="75" t="s">
        <v>457</v>
      </c>
      <c r="P216" s="75" t="s">
        <v>539</v>
      </c>
      <c r="Q216" s="75">
        <v>1</v>
      </c>
      <c r="R216" s="86">
        <v>42824</v>
      </c>
      <c r="S216" s="86">
        <f>EDATE(Edges[[#This Row],[Start
Time]],Edges[[#This Row],[Duración
(meses)]])</f>
        <v>43189</v>
      </c>
      <c r="T216" s="75">
        <v>12</v>
      </c>
      <c r="U216" s="76" t="s">
        <v>458</v>
      </c>
      <c r="V216" s="145"/>
      <c r="W216" s="145"/>
    </row>
    <row r="217" spans="1:23" x14ac:dyDescent="0.3">
      <c r="A217" s="67" t="s">
        <v>312</v>
      </c>
      <c r="B217" s="67" t="s">
        <v>315</v>
      </c>
      <c r="C217" s="68"/>
      <c r="D217" s="69"/>
      <c r="E217" s="68"/>
      <c r="F217" s="70"/>
      <c r="G217" s="68" t="s">
        <v>184</v>
      </c>
      <c r="H217" s="49"/>
      <c r="I217" s="50"/>
      <c r="J217" s="50"/>
      <c r="K217" s="51"/>
      <c r="L217" s="52">
        <v>217</v>
      </c>
      <c r="M21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7" s="53"/>
      <c r="O217" s="75" t="s">
        <v>457</v>
      </c>
      <c r="P217" s="75" t="s">
        <v>539</v>
      </c>
      <c r="Q217" s="75">
        <v>1</v>
      </c>
      <c r="R217" s="86">
        <v>42824</v>
      </c>
      <c r="S217" s="86">
        <f>EDATE(Edges[[#This Row],[Start
Time]],Edges[[#This Row],[Duración
(meses)]])</f>
        <v>43189</v>
      </c>
      <c r="T217" s="75">
        <v>12</v>
      </c>
      <c r="U217" s="76" t="s">
        <v>458</v>
      </c>
      <c r="V217" s="145"/>
      <c r="W217" s="145"/>
    </row>
    <row r="218" spans="1:23" x14ac:dyDescent="0.3">
      <c r="A218" s="67" t="s">
        <v>312</v>
      </c>
      <c r="B218" s="67" t="s">
        <v>303</v>
      </c>
      <c r="C218" s="68"/>
      <c r="D218" s="69"/>
      <c r="E218" s="68"/>
      <c r="F218" s="70"/>
      <c r="G218" s="68" t="s">
        <v>184</v>
      </c>
      <c r="H218" s="49"/>
      <c r="I218" s="50"/>
      <c r="J218" s="50"/>
      <c r="K218" s="51"/>
      <c r="L218" s="52">
        <v>218</v>
      </c>
      <c r="M21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8" s="53"/>
      <c r="O218" s="75" t="s">
        <v>457</v>
      </c>
      <c r="P218" s="75" t="s">
        <v>539</v>
      </c>
      <c r="Q218" s="75">
        <v>1</v>
      </c>
      <c r="R218" s="86">
        <v>42824</v>
      </c>
      <c r="S218" s="86">
        <f>EDATE(Edges[[#This Row],[Start
Time]],Edges[[#This Row],[Duración
(meses)]])</f>
        <v>43189</v>
      </c>
      <c r="T218" s="75">
        <v>12</v>
      </c>
      <c r="U218" s="76" t="s">
        <v>458</v>
      </c>
      <c r="V218" s="145"/>
      <c r="W218" s="145"/>
    </row>
    <row r="219" spans="1:23" x14ac:dyDescent="0.3">
      <c r="A219" s="67" t="s">
        <v>386</v>
      </c>
      <c r="B219" s="67" t="s">
        <v>252</v>
      </c>
      <c r="C219" s="68"/>
      <c r="D219" s="69"/>
      <c r="E219" s="68"/>
      <c r="F219" s="70"/>
      <c r="G219" s="68" t="s">
        <v>184</v>
      </c>
      <c r="H219" s="49"/>
      <c r="I219" s="50"/>
      <c r="J219" s="50"/>
      <c r="K219" s="51"/>
      <c r="L219" s="52">
        <v>219</v>
      </c>
      <c r="M21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19" s="53"/>
      <c r="O219" s="75" t="s">
        <v>642</v>
      </c>
      <c r="P219" s="75" t="s">
        <v>642</v>
      </c>
      <c r="Q219" s="75">
        <v>2</v>
      </c>
      <c r="R219" s="86">
        <v>42327</v>
      </c>
      <c r="S219" s="86">
        <f>EDATE(Edges[[#This Row],[Start
Time]],Edges[[#This Row],[Duración
(meses)]])</f>
        <v>42874</v>
      </c>
      <c r="T219" s="75">
        <v>18</v>
      </c>
      <c r="U219" s="76" t="s">
        <v>643</v>
      </c>
      <c r="V219" s="145"/>
      <c r="W219" s="145"/>
    </row>
    <row r="220" spans="1:23" x14ac:dyDescent="0.3">
      <c r="A220" s="67" t="s">
        <v>252</v>
      </c>
      <c r="B220" s="67" t="s">
        <v>250</v>
      </c>
      <c r="C220" s="68"/>
      <c r="D220" s="69"/>
      <c r="E220" s="68"/>
      <c r="F220" s="70"/>
      <c r="G220" s="68" t="s">
        <v>184</v>
      </c>
      <c r="H220" s="49"/>
      <c r="I220" s="50"/>
      <c r="J220" s="50"/>
      <c r="K220" s="51"/>
      <c r="L220" s="52">
        <v>220</v>
      </c>
      <c r="M22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0" s="53"/>
      <c r="O220" s="75" t="s">
        <v>642</v>
      </c>
      <c r="P220" s="75" t="s">
        <v>660</v>
      </c>
      <c r="Q220" s="75">
        <v>2</v>
      </c>
      <c r="R220" s="86">
        <v>42327</v>
      </c>
      <c r="S220" s="86">
        <f>EDATE(Edges[[#This Row],[Start
Time]],Edges[[#This Row],[Duración
(meses)]])</f>
        <v>42874</v>
      </c>
      <c r="T220" s="75">
        <v>18</v>
      </c>
      <c r="U220" s="76" t="s">
        <v>643</v>
      </c>
      <c r="V220" s="145"/>
      <c r="W220" s="145"/>
    </row>
    <row r="221" spans="1:23" x14ac:dyDescent="0.3">
      <c r="A221" s="67" t="s">
        <v>252</v>
      </c>
      <c r="B221" s="67" t="s">
        <v>390</v>
      </c>
      <c r="C221" s="68"/>
      <c r="D221" s="69"/>
      <c r="E221" s="68"/>
      <c r="F221" s="70"/>
      <c r="G221" s="68" t="s">
        <v>184</v>
      </c>
      <c r="H221" s="49"/>
      <c r="I221" s="50"/>
      <c r="J221" s="50"/>
      <c r="K221" s="51"/>
      <c r="L221" s="52">
        <v>221</v>
      </c>
      <c r="M22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1" s="53"/>
      <c r="O221" s="75" t="s">
        <v>642</v>
      </c>
      <c r="P221" s="75" t="s">
        <v>660</v>
      </c>
      <c r="Q221" s="75">
        <v>2</v>
      </c>
      <c r="R221" s="86">
        <v>42327</v>
      </c>
      <c r="S221" s="86">
        <f>EDATE(Edges[[#This Row],[Start
Time]],Edges[[#This Row],[Duración
(meses)]])</f>
        <v>42874</v>
      </c>
      <c r="T221" s="75">
        <v>18</v>
      </c>
      <c r="U221" s="76" t="s">
        <v>643</v>
      </c>
      <c r="V221" s="145"/>
      <c r="W221" s="145"/>
    </row>
    <row r="222" spans="1:23" x14ac:dyDescent="0.3">
      <c r="A222" s="67" t="s">
        <v>252</v>
      </c>
      <c r="B222" s="67" t="s">
        <v>291</v>
      </c>
      <c r="C222" s="68"/>
      <c r="D222" s="69"/>
      <c r="E222" s="68"/>
      <c r="F222" s="70"/>
      <c r="G222" s="68" t="s">
        <v>184</v>
      </c>
      <c r="H222" s="49"/>
      <c r="I222" s="50"/>
      <c r="J222" s="50"/>
      <c r="K222" s="51"/>
      <c r="L222" s="52">
        <v>222</v>
      </c>
      <c r="M22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2" s="53"/>
      <c r="O222" s="75" t="s">
        <v>642</v>
      </c>
      <c r="P222" s="75" t="s">
        <v>660</v>
      </c>
      <c r="Q222" s="75">
        <v>2</v>
      </c>
      <c r="R222" s="86">
        <v>42327</v>
      </c>
      <c r="S222" s="86">
        <f>EDATE(Edges[[#This Row],[Start
Time]],Edges[[#This Row],[Duración
(meses)]])</f>
        <v>42874</v>
      </c>
      <c r="T222" s="75">
        <v>18</v>
      </c>
      <c r="U222" s="76" t="s">
        <v>643</v>
      </c>
      <c r="V222" s="145"/>
      <c r="W222" s="145"/>
    </row>
    <row r="223" spans="1:23" x14ac:dyDescent="0.3">
      <c r="A223" s="67" t="s">
        <v>252</v>
      </c>
      <c r="B223" s="67" t="s">
        <v>222</v>
      </c>
      <c r="C223" s="68"/>
      <c r="D223" s="69"/>
      <c r="E223" s="68"/>
      <c r="F223" s="70"/>
      <c r="G223" s="68" t="s">
        <v>184</v>
      </c>
      <c r="H223" s="49"/>
      <c r="I223" s="50"/>
      <c r="J223" s="50"/>
      <c r="K223" s="51"/>
      <c r="L223" s="52">
        <v>223</v>
      </c>
      <c r="M22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3" s="53"/>
      <c r="O223" s="75" t="s">
        <v>642</v>
      </c>
      <c r="P223" s="75" t="s">
        <v>660</v>
      </c>
      <c r="Q223" s="75">
        <v>2</v>
      </c>
      <c r="R223" s="86">
        <v>42327</v>
      </c>
      <c r="S223" s="86">
        <f>EDATE(Edges[[#This Row],[Start
Time]],Edges[[#This Row],[Duración
(meses)]])</f>
        <v>42874</v>
      </c>
      <c r="T223" s="75">
        <v>18</v>
      </c>
      <c r="U223" s="76" t="s">
        <v>643</v>
      </c>
      <c r="V223" s="145"/>
      <c r="W223" s="145"/>
    </row>
    <row r="224" spans="1:23" x14ac:dyDescent="0.3">
      <c r="A224" s="67" t="s">
        <v>386</v>
      </c>
      <c r="B224" s="67" t="s">
        <v>245</v>
      </c>
      <c r="C224" s="68"/>
      <c r="D224" s="69"/>
      <c r="E224" s="68"/>
      <c r="F224" s="70"/>
      <c r="G224" s="68" t="s">
        <v>184</v>
      </c>
      <c r="H224" s="49"/>
      <c r="I224" s="50"/>
      <c r="J224" s="50"/>
      <c r="K224" s="51"/>
      <c r="L224" s="52">
        <v>224</v>
      </c>
      <c r="M22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4" s="53"/>
      <c r="O224" s="75" t="s">
        <v>617</v>
      </c>
      <c r="P224" s="75" t="s">
        <v>617</v>
      </c>
      <c r="Q224" s="75">
        <v>2</v>
      </c>
      <c r="R224" s="86">
        <v>42328</v>
      </c>
      <c r="S224" s="86">
        <f>EDATE(Edges[[#This Row],[Start
Time]],Edges[[#This Row],[Duración
(meses)]])</f>
        <v>43059</v>
      </c>
      <c r="T224" s="75">
        <v>24</v>
      </c>
      <c r="U224" s="76" t="s">
        <v>618</v>
      </c>
      <c r="V224" s="145"/>
      <c r="W224" s="145"/>
    </row>
    <row r="225" spans="1:23" x14ac:dyDescent="0.3">
      <c r="A225" s="67" t="s">
        <v>245</v>
      </c>
      <c r="B225" s="67" t="s">
        <v>396</v>
      </c>
      <c r="C225" s="68"/>
      <c r="D225" s="69"/>
      <c r="E225" s="68"/>
      <c r="F225" s="70"/>
      <c r="G225" s="68" t="s">
        <v>184</v>
      </c>
      <c r="H225" s="49"/>
      <c r="I225" s="50"/>
      <c r="J225" s="50"/>
      <c r="K225" s="51"/>
      <c r="L225" s="52">
        <v>225</v>
      </c>
      <c r="M22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5" s="53"/>
      <c r="O225" s="75" t="s">
        <v>617</v>
      </c>
      <c r="P225" s="75" t="s">
        <v>661</v>
      </c>
      <c r="Q225" s="75">
        <v>2</v>
      </c>
      <c r="R225" s="86">
        <v>42328</v>
      </c>
      <c r="S225" s="86">
        <f>EDATE(Edges[[#This Row],[Start
Time]],Edges[[#This Row],[Duración
(meses)]])</f>
        <v>43059</v>
      </c>
      <c r="T225" s="75">
        <v>24</v>
      </c>
      <c r="U225" s="76" t="s">
        <v>618</v>
      </c>
      <c r="V225" s="145"/>
      <c r="W225" s="145"/>
    </row>
    <row r="226" spans="1:23" x14ac:dyDescent="0.3">
      <c r="A226" s="67" t="s">
        <v>245</v>
      </c>
      <c r="B226" s="67" t="s">
        <v>575</v>
      </c>
      <c r="C226" s="68"/>
      <c r="D226" s="69"/>
      <c r="E226" s="68"/>
      <c r="F226" s="70"/>
      <c r="G226" s="68" t="s">
        <v>184</v>
      </c>
      <c r="H226" s="49"/>
      <c r="I226" s="50"/>
      <c r="J226" s="50"/>
      <c r="K226" s="51"/>
      <c r="L226" s="52">
        <v>226</v>
      </c>
      <c r="M22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6" s="53"/>
      <c r="O226" s="75" t="s">
        <v>617</v>
      </c>
      <c r="P226" s="75" t="s">
        <v>661</v>
      </c>
      <c r="Q226" s="75">
        <v>2</v>
      </c>
      <c r="R226" s="86">
        <v>42328</v>
      </c>
      <c r="S226" s="86">
        <f>EDATE(Edges[[#This Row],[Start
Time]],Edges[[#This Row],[Duración
(meses)]])</f>
        <v>43059</v>
      </c>
      <c r="T226" s="75">
        <v>24</v>
      </c>
      <c r="U226" s="76" t="s">
        <v>618</v>
      </c>
      <c r="V226" s="145"/>
      <c r="W226" s="145"/>
    </row>
    <row r="227" spans="1:23" x14ac:dyDescent="0.3">
      <c r="A227" s="67" t="s">
        <v>245</v>
      </c>
      <c r="B227" s="67" t="s">
        <v>576</v>
      </c>
      <c r="C227" s="68"/>
      <c r="D227" s="69"/>
      <c r="E227" s="68"/>
      <c r="F227" s="70"/>
      <c r="G227" s="68" t="s">
        <v>184</v>
      </c>
      <c r="H227" s="49"/>
      <c r="I227" s="50"/>
      <c r="J227" s="50"/>
      <c r="K227" s="51"/>
      <c r="L227" s="52">
        <v>227</v>
      </c>
      <c r="M22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7" s="53"/>
      <c r="O227" s="75" t="s">
        <v>617</v>
      </c>
      <c r="P227" s="75" t="s">
        <v>661</v>
      </c>
      <c r="Q227" s="75">
        <v>2</v>
      </c>
      <c r="R227" s="86">
        <v>42328</v>
      </c>
      <c r="S227" s="86">
        <f>EDATE(Edges[[#This Row],[Start
Time]],Edges[[#This Row],[Duración
(meses)]])</f>
        <v>43059</v>
      </c>
      <c r="T227" s="75">
        <v>24</v>
      </c>
      <c r="U227" s="76" t="s">
        <v>618</v>
      </c>
      <c r="V227" s="145"/>
      <c r="W227" s="145"/>
    </row>
    <row r="228" spans="1:23" x14ac:dyDescent="0.3">
      <c r="A228" s="67" t="s">
        <v>245</v>
      </c>
      <c r="B228" s="67" t="s">
        <v>577</v>
      </c>
      <c r="C228" s="68"/>
      <c r="D228" s="69"/>
      <c r="E228" s="68"/>
      <c r="F228" s="70"/>
      <c r="G228" s="68" t="s">
        <v>184</v>
      </c>
      <c r="H228" s="49"/>
      <c r="I228" s="50"/>
      <c r="J228" s="50"/>
      <c r="K228" s="51"/>
      <c r="L228" s="52">
        <v>228</v>
      </c>
      <c r="M22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8" s="53"/>
      <c r="O228" s="75" t="s">
        <v>617</v>
      </c>
      <c r="P228" s="75" t="s">
        <v>661</v>
      </c>
      <c r="Q228" s="75">
        <v>2</v>
      </c>
      <c r="R228" s="86">
        <v>42328</v>
      </c>
      <c r="S228" s="86">
        <f>EDATE(Edges[[#This Row],[Start
Time]],Edges[[#This Row],[Duración
(meses)]])</f>
        <v>43059</v>
      </c>
      <c r="T228" s="75">
        <v>24</v>
      </c>
      <c r="U228" s="76" t="s">
        <v>618</v>
      </c>
      <c r="V228" s="145"/>
      <c r="W228" s="145"/>
    </row>
    <row r="229" spans="1:23" x14ac:dyDescent="0.3">
      <c r="A229" s="67" t="s">
        <v>245</v>
      </c>
      <c r="B229" s="67" t="s">
        <v>578</v>
      </c>
      <c r="C229" s="68"/>
      <c r="D229" s="69"/>
      <c r="E229" s="68"/>
      <c r="F229" s="70"/>
      <c r="G229" s="68" t="s">
        <v>184</v>
      </c>
      <c r="H229" s="49"/>
      <c r="I229" s="50"/>
      <c r="J229" s="50"/>
      <c r="K229" s="51"/>
      <c r="L229" s="52">
        <v>229</v>
      </c>
      <c r="M22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29" s="53"/>
      <c r="O229" s="75" t="s">
        <v>617</v>
      </c>
      <c r="P229" s="75" t="s">
        <v>661</v>
      </c>
      <c r="Q229" s="75">
        <v>2</v>
      </c>
      <c r="R229" s="86">
        <v>42328</v>
      </c>
      <c r="S229" s="86">
        <f>EDATE(Edges[[#This Row],[Start
Time]],Edges[[#This Row],[Duración
(meses)]])</f>
        <v>43059</v>
      </c>
      <c r="T229" s="75">
        <v>24</v>
      </c>
      <c r="U229" s="76" t="s">
        <v>618</v>
      </c>
      <c r="V229" s="145"/>
      <c r="W229" s="145"/>
    </row>
    <row r="230" spans="1:23" x14ac:dyDescent="0.3">
      <c r="A230" s="67" t="s">
        <v>245</v>
      </c>
      <c r="B230" s="67" t="s">
        <v>579</v>
      </c>
      <c r="C230" s="68"/>
      <c r="D230" s="69"/>
      <c r="E230" s="68"/>
      <c r="F230" s="70"/>
      <c r="G230" s="68" t="s">
        <v>184</v>
      </c>
      <c r="H230" s="49"/>
      <c r="I230" s="50"/>
      <c r="J230" s="50"/>
      <c r="K230" s="51"/>
      <c r="L230" s="52">
        <v>230</v>
      </c>
      <c r="M23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0" s="53"/>
      <c r="O230" s="75" t="s">
        <v>617</v>
      </c>
      <c r="P230" s="75" t="s">
        <v>661</v>
      </c>
      <c r="Q230" s="75">
        <v>2</v>
      </c>
      <c r="R230" s="86">
        <v>42328</v>
      </c>
      <c r="S230" s="86">
        <f>EDATE(Edges[[#This Row],[Start
Time]],Edges[[#This Row],[Duración
(meses)]])</f>
        <v>43059</v>
      </c>
      <c r="T230" s="75">
        <v>24</v>
      </c>
      <c r="U230" s="76" t="s">
        <v>618</v>
      </c>
      <c r="V230" s="145"/>
      <c r="W230" s="145"/>
    </row>
    <row r="231" spans="1:23" x14ac:dyDescent="0.3">
      <c r="A231" s="67" t="s">
        <v>245</v>
      </c>
      <c r="B231" s="67" t="s">
        <v>207</v>
      </c>
      <c r="C231" s="68"/>
      <c r="D231" s="69"/>
      <c r="E231" s="68"/>
      <c r="F231" s="70"/>
      <c r="G231" s="68" t="s">
        <v>184</v>
      </c>
      <c r="H231" s="49"/>
      <c r="I231" s="50"/>
      <c r="J231" s="50"/>
      <c r="K231" s="51"/>
      <c r="L231" s="52">
        <v>231</v>
      </c>
      <c r="M23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1" s="53"/>
      <c r="O231" s="75" t="s">
        <v>617</v>
      </c>
      <c r="P231" s="75" t="s">
        <v>662</v>
      </c>
      <c r="Q231" s="75">
        <v>2</v>
      </c>
      <c r="R231" s="86">
        <v>42328</v>
      </c>
      <c r="S231" s="86">
        <f>EDATE(Edges[[#This Row],[Start
Time]],Edges[[#This Row],[Duración
(meses)]])</f>
        <v>43059</v>
      </c>
      <c r="T231" s="75">
        <v>24</v>
      </c>
      <c r="U231" s="76" t="s">
        <v>618</v>
      </c>
      <c r="V231" s="145"/>
      <c r="W231" s="145"/>
    </row>
    <row r="232" spans="1:23" x14ac:dyDescent="0.3">
      <c r="A232" s="67" t="s">
        <v>386</v>
      </c>
      <c r="B232" s="67" t="s">
        <v>562</v>
      </c>
      <c r="C232" s="68"/>
      <c r="D232" s="69"/>
      <c r="E232" s="68"/>
      <c r="F232" s="70"/>
      <c r="G232" s="68" t="s">
        <v>184</v>
      </c>
      <c r="H232" s="49"/>
      <c r="I232" s="50"/>
      <c r="J232" s="50"/>
      <c r="K232" s="51"/>
      <c r="L232" s="52">
        <v>232</v>
      </c>
      <c r="M23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2" s="53"/>
      <c r="O232" s="75" t="s">
        <v>607</v>
      </c>
      <c r="P232" s="75" t="s">
        <v>607</v>
      </c>
      <c r="Q232" s="75">
        <v>2</v>
      </c>
      <c r="R232" s="86">
        <v>42349</v>
      </c>
      <c r="S232" s="86">
        <f>EDATE(Edges[[#This Row],[Start
Time]],Edges[[#This Row],[Duración
(meses)]])</f>
        <v>42897</v>
      </c>
      <c r="T232" s="75">
        <v>18</v>
      </c>
      <c r="U232" s="76" t="s">
        <v>608</v>
      </c>
      <c r="V232" s="145"/>
      <c r="W232" s="145"/>
    </row>
    <row r="233" spans="1:23" x14ac:dyDescent="0.3">
      <c r="A233" s="67" t="s">
        <v>562</v>
      </c>
      <c r="B233" s="67" t="s">
        <v>250</v>
      </c>
      <c r="C233" s="68"/>
      <c r="D233" s="69"/>
      <c r="E233" s="68"/>
      <c r="F233" s="70"/>
      <c r="G233" s="68" t="s">
        <v>184</v>
      </c>
      <c r="H233" s="49"/>
      <c r="I233" s="50"/>
      <c r="J233" s="50"/>
      <c r="K233" s="51"/>
      <c r="L233" s="52">
        <v>233</v>
      </c>
      <c r="M23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3" s="53"/>
      <c r="O233" s="75" t="s">
        <v>607</v>
      </c>
      <c r="P233" s="75" t="s">
        <v>663</v>
      </c>
      <c r="Q233" s="75">
        <v>2</v>
      </c>
      <c r="R233" s="86">
        <v>42349</v>
      </c>
      <c r="S233" s="86">
        <f>EDATE(Edges[[#This Row],[Start
Time]],Edges[[#This Row],[Duración
(meses)]])</f>
        <v>42897</v>
      </c>
      <c r="T233" s="75">
        <v>18</v>
      </c>
      <c r="U233" s="76" t="s">
        <v>608</v>
      </c>
      <c r="V233" s="145"/>
      <c r="W233" s="145"/>
    </row>
    <row r="234" spans="1:23" x14ac:dyDescent="0.3">
      <c r="A234" s="67" t="s">
        <v>562</v>
      </c>
      <c r="B234" s="67" t="s">
        <v>395</v>
      </c>
      <c r="C234" s="68"/>
      <c r="D234" s="69"/>
      <c r="E234" s="68"/>
      <c r="F234" s="70"/>
      <c r="G234" s="68" t="s">
        <v>184</v>
      </c>
      <c r="H234" s="49"/>
      <c r="I234" s="50"/>
      <c r="J234" s="50"/>
      <c r="K234" s="51"/>
      <c r="L234" s="52">
        <v>234</v>
      </c>
      <c r="M23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4" s="53"/>
      <c r="O234" s="75" t="s">
        <v>607</v>
      </c>
      <c r="P234" s="75" t="s">
        <v>663</v>
      </c>
      <c r="Q234" s="75">
        <v>2</v>
      </c>
      <c r="R234" s="86">
        <v>42349</v>
      </c>
      <c r="S234" s="86">
        <f>EDATE(Edges[[#This Row],[Start
Time]],Edges[[#This Row],[Duración
(meses)]])</f>
        <v>42897</v>
      </c>
      <c r="T234" s="75">
        <v>18</v>
      </c>
      <c r="U234" s="76" t="s">
        <v>608</v>
      </c>
      <c r="V234" s="145"/>
      <c r="W234" s="145"/>
    </row>
    <row r="235" spans="1:23" x14ac:dyDescent="0.3">
      <c r="A235" s="67" t="s">
        <v>562</v>
      </c>
      <c r="B235" s="67" t="s">
        <v>396</v>
      </c>
      <c r="C235" s="68"/>
      <c r="D235" s="69"/>
      <c r="E235" s="68"/>
      <c r="F235" s="70"/>
      <c r="G235" s="68" t="s">
        <v>184</v>
      </c>
      <c r="H235" s="49"/>
      <c r="I235" s="50"/>
      <c r="J235" s="50"/>
      <c r="K235" s="51"/>
      <c r="L235" s="52">
        <v>235</v>
      </c>
      <c r="M23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5" s="53"/>
      <c r="O235" s="75" t="s">
        <v>607</v>
      </c>
      <c r="P235" s="75" t="s">
        <v>663</v>
      </c>
      <c r="Q235" s="75">
        <v>2</v>
      </c>
      <c r="R235" s="86">
        <v>42349</v>
      </c>
      <c r="S235" s="86">
        <f>EDATE(Edges[[#This Row],[Start
Time]],Edges[[#This Row],[Duración
(meses)]])</f>
        <v>42897</v>
      </c>
      <c r="T235" s="75">
        <v>18</v>
      </c>
      <c r="U235" s="76" t="s">
        <v>608</v>
      </c>
      <c r="V235" s="145"/>
      <c r="W235" s="145"/>
    </row>
    <row r="236" spans="1:23" x14ac:dyDescent="0.3">
      <c r="A236" s="67" t="s">
        <v>386</v>
      </c>
      <c r="B236" s="67" t="s">
        <v>309</v>
      </c>
      <c r="C236" s="68"/>
      <c r="D236" s="69"/>
      <c r="E236" s="68"/>
      <c r="F236" s="70"/>
      <c r="G236" s="68" t="s">
        <v>184</v>
      </c>
      <c r="H236" s="49"/>
      <c r="I236" s="50"/>
      <c r="J236" s="50"/>
      <c r="K236" s="51"/>
      <c r="L236" s="52">
        <v>236</v>
      </c>
      <c r="M23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6" s="53"/>
      <c r="O236" s="75" t="s">
        <v>644</v>
      </c>
      <c r="P236" s="75" t="s">
        <v>644</v>
      </c>
      <c r="Q236" s="75">
        <v>2</v>
      </c>
      <c r="R236" s="86">
        <v>42339</v>
      </c>
      <c r="S236" s="86">
        <f>EDATE(Edges[[#This Row],[Start
Time]],Edges[[#This Row],[Duración
(meses)]])</f>
        <v>43070</v>
      </c>
      <c r="T236" s="75">
        <v>24</v>
      </c>
      <c r="U236" s="76" t="s">
        <v>645</v>
      </c>
      <c r="V236" s="145"/>
      <c r="W236" s="145"/>
    </row>
    <row r="237" spans="1:23" x14ac:dyDescent="0.3">
      <c r="A237" s="67" t="s">
        <v>309</v>
      </c>
      <c r="B237" s="67" t="s">
        <v>350</v>
      </c>
      <c r="C237" s="68"/>
      <c r="D237" s="69"/>
      <c r="E237" s="68"/>
      <c r="F237" s="70"/>
      <c r="G237" s="68" t="s">
        <v>184</v>
      </c>
      <c r="H237" s="49"/>
      <c r="I237" s="50"/>
      <c r="J237" s="50"/>
      <c r="K237" s="51"/>
      <c r="L237" s="52">
        <v>237</v>
      </c>
      <c r="M23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7" s="53"/>
      <c r="O237" s="75" t="s">
        <v>644</v>
      </c>
      <c r="P237" s="75" t="s">
        <v>664</v>
      </c>
      <c r="Q237" s="75">
        <v>2</v>
      </c>
      <c r="R237" s="86">
        <v>42339</v>
      </c>
      <c r="S237" s="86">
        <f>EDATE(Edges[[#This Row],[Start
Time]],Edges[[#This Row],[Duración
(meses)]])</f>
        <v>43070</v>
      </c>
      <c r="T237" s="75">
        <v>24</v>
      </c>
      <c r="U237" s="76" t="s">
        <v>645</v>
      </c>
      <c r="V237" s="145"/>
      <c r="W237" s="145"/>
    </row>
    <row r="238" spans="1:23" x14ac:dyDescent="0.3">
      <c r="A238" s="67" t="s">
        <v>386</v>
      </c>
      <c r="B238" s="67" t="s">
        <v>567</v>
      </c>
      <c r="C238" s="68"/>
      <c r="D238" s="69"/>
      <c r="E238" s="68"/>
      <c r="F238" s="70"/>
      <c r="G238" s="68" t="s">
        <v>184</v>
      </c>
      <c r="H238" s="49"/>
      <c r="I238" s="50"/>
      <c r="J238" s="50"/>
      <c r="K238" s="51"/>
      <c r="L238" s="52">
        <v>238</v>
      </c>
      <c r="M23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8" s="53"/>
      <c r="O238" s="75" t="s">
        <v>631</v>
      </c>
      <c r="P238" s="75" t="s">
        <v>631</v>
      </c>
      <c r="Q238" s="75">
        <v>2</v>
      </c>
      <c r="R238" s="86">
        <v>42339</v>
      </c>
      <c r="S238" s="86">
        <f>EDATE(Edges[[#This Row],[Start
Time]],Edges[[#This Row],[Duración
(meses)]])</f>
        <v>43070</v>
      </c>
      <c r="T238" s="75">
        <v>24</v>
      </c>
      <c r="U238" s="76" t="s">
        <v>632</v>
      </c>
      <c r="V238" s="145"/>
      <c r="W238" s="145"/>
    </row>
    <row r="239" spans="1:23" x14ac:dyDescent="0.3">
      <c r="A239" s="67" t="s">
        <v>567</v>
      </c>
      <c r="B239" s="67" t="s">
        <v>389</v>
      </c>
      <c r="C239" s="68"/>
      <c r="D239" s="69"/>
      <c r="E239" s="68"/>
      <c r="F239" s="70"/>
      <c r="G239" s="68" t="s">
        <v>184</v>
      </c>
      <c r="H239" s="49"/>
      <c r="I239" s="50"/>
      <c r="J239" s="50"/>
      <c r="K239" s="51"/>
      <c r="L239" s="52">
        <v>239</v>
      </c>
      <c r="M23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39" s="53"/>
      <c r="O239" s="75" t="s">
        <v>631</v>
      </c>
      <c r="P239" s="75" t="s">
        <v>665</v>
      </c>
      <c r="Q239" s="75">
        <v>2</v>
      </c>
      <c r="R239" s="86">
        <v>42339</v>
      </c>
      <c r="S239" s="86">
        <f>EDATE(Edges[[#This Row],[Start
Time]],Edges[[#This Row],[Duración
(meses)]])</f>
        <v>43070</v>
      </c>
      <c r="T239" s="75">
        <v>24</v>
      </c>
      <c r="U239" s="76" t="s">
        <v>632</v>
      </c>
      <c r="V239" s="145"/>
      <c r="W239" s="145"/>
    </row>
    <row r="240" spans="1:23" x14ac:dyDescent="0.3">
      <c r="A240" s="67" t="s">
        <v>567</v>
      </c>
      <c r="B240" s="67" t="s">
        <v>385</v>
      </c>
      <c r="C240" s="68"/>
      <c r="D240" s="69"/>
      <c r="E240" s="68"/>
      <c r="F240" s="70"/>
      <c r="G240" s="68" t="s">
        <v>184</v>
      </c>
      <c r="H240" s="49"/>
      <c r="I240" s="50"/>
      <c r="J240" s="50"/>
      <c r="K240" s="51"/>
      <c r="L240" s="52">
        <v>240</v>
      </c>
      <c r="M24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0" s="53"/>
      <c r="O240" s="75" t="s">
        <v>631</v>
      </c>
      <c r="P240" s="75" t="s">
        <v>666</v>
      </c>
      <c r="Q240" s="75">
        <v>2</v>
      </c>
      <c r="R240" s="86">
        <v>42339</v>
      </c>
      <c r="S240" s="86">
        <f>EDATE(Edges[[#This Row],[Start
Time]],Edges[[#This Row],[Duración
(meses)]])</f>
        <v>43070</v>
      </c>
      <c r="T240" s="75">
        <v>24</v>
      </c>
      <c r="U240" s="76" t="s">
        <v>632</v>
      </c>
      <c r="V240" s="145"/>
      <c r="W240" s="145"/>
    </row>
    <row r="241" spans="1:23" x14ac:dyDescent="0.3">
      <c r="A241" s="67" t="s">
        <v>185</v>
      </c>
      <c r="B241" s="67" t="s">
        <v>569</v>
      </c>
      <c r="C241" s="68"/>
      <c r="D241" s="69"/>
      <c r="E241" s="68"/>
      <c r="F241" s="70"/>
      <c r="G241" s="68" t="s">
        <v>184</v>
      </c>
      <c r="H241" s="49"/>
      <c r="I241" s="50"/>
      <c r="J241" s="50"/>
      <c r="K241" s="51"/>
      <c r="L241" s="52">
        <v>241</v>
      </c>
      <c r="M24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1" s="53"/>
      <c r="O241" s="75" t="s">
        <v>580</v>
      </c>
      <c r="P241" s="75" t="s">
        <v>580</v>
      </c>
      <c r="Q241" s="75">
        <v>2</v>
      </c>
      <c r="R241" s="86">
        <v>42135</v>
      </c>
      <c r="S241" s="86">
        <f>EDATE(Edges[[#This Row],[Start
Time]],Edges[[#This Row],[Duración
(meses)]])</f>
        <v>42288</v>
      </c>
      <c r="T241" s="75">
        <v>5</v>
      </c>
      <c r="U241" s="76" t="s">
        <v>641</v>
      </c>
      <c r="V241" s="145"/>
      <c r="W241" s="145"/>
    </row>
    <row r="242" spans="1:23" x14ac:dyDescent="0.3">
      <c r="A242" s="67" t="s">
        <v>569</v>
      </c>
      <c r="B242" s="67" t="s">
        <v>580</v>
      </c>
      <c r="C242" s="68"/>
      <c r="D242" s="69"/>
      <c r="E242" s="68"/>
      <c r="F242" s="70"/>
      <c r="G242" s="68" t="s">
        <v>184</v>
      </c>
      <c r="H242" s="49"/>
      <c r="I242" s="50"/>
      <c r="J242" s="50"/>
      <c r="K242" s="51"/>
      <c r="L242" s="52">
        <v>242</v>
      </c>
      <c r="M24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2" s="53"/>
      <c r="O242" s="75" t="s">
        <v>580</v>
      </c>
      <c r="P242" s="75" t="s">
        <v>580</v>
      </c>
      <c r="Q242" s="75">
        <v>2</v>
      </c>
      <c r="R242" s="86">
        <v>42135</v>
      </c>
      <c r="S242" s="86">
        <f>EDATE(Edges[[#This Row],[Start
Time]],Edges[[#This Row],[Duración
(meses)]])</f>
        <v>42288</v>
      </c>
      <c r="T242" s="75">
        <v>5</v>
      </c>
      <c r="U242" s="76" t="s">
        <v>641</v>
      </c>
      <c r="V242" s="145"/>
      <c r="W242" s="145"/>
    </row>
    <row r="243" spans="1:23" x14ac:dyDescent="0.3">
      <c r="A243" s="67" t="s">
        <v>580</v>
      </c>
      <c r="B243" s="67" t="s">
        <v>581</v>
      </c>
      <c r="C243" s="68"/>
      <c r="D243" s="69"/>
      <c r="E243" s="68"/>
      <c r="F243" s="70"/>
      <c r="G243" s="68" t="s">
        <v>184</v>
      </c>
      <c r="H243" s="49"/>
      <c r="I243" s="50"/>
      <c r="J243" s="50"/>
      <c r="K243" s="51"/>
      <c r="L243" s="52">
        <v>243</v>
      </c>
      <c r="M24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3" s="53"/>
      <c r="O243" s="75" t="s">
        <v>580</v>
      </c>
      <c r="P243" s="75" t="s">
        <v>667</v>
      </c>
      <c r="Q243" s="75">
        <v>2</v>
      </c>
      <c r="R243" s="86">
        <v>42135</v>
      </c>
      <c r="S243" s="86">
        <f>EDATE(Edges[[#This Row],[Start
Time]],Edges[[#This Row],[Duración
(meses)]])</f>
        <v>42288</v>
      </c>
      <c r="T243" s="75">
        <v>5</v>
      </c>
      <c r="U243" s="76" t="s">
        <v>641</v>
      </c>
      <c r="V243" s="145"/>
      <c r="W243" s="145"/>
    </row>
    <row r="244" spans="1:23" x14ac:dyDescent="0.3">
      <c r="A244" s="67" t="s">
        <v>580</v>
      </c>
      <c r="B244" s="67" t="s">
        <v>582</v>
      </c>
      <c r="C244" s="68"/>
      <c r="D244" s="69"/>
      <c r="E244" s="68"/>
      <c r="F244" s="70"/>
      <c r="G244" s="68" t="s">
        <v>184</v>
      </c>
      <c r="H244" s="49"/>
      <c r="I244" s="50"/>
      <c r="J244" s="50"/>
      <c r="K244" s="51"/>
      <c r="L244" s="52">
        <v>244</v>
      </c>
      <c r="M24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4" s="53"/>
      <c r="O244" s="75" t="s">
        <v>580</v>
      </c>
      <c r="P244" s="75" t="s">
        <v>667</v>
      </c>
      <c r="Q244" s="75">
        <v>2</v>
      </c>
      <c r="R244" s="86">
        <v>42135</v>
      </c>
      <c r="S244" s="86">
        <f>EDATE(Edges[[#This Row],[Start
Time]],Edges[[#This Row],[Duración
(meses)]])</f>
        <v>42288</v>
      </c>
      <c r="T244" s="75">
        <v>5</v>
      </c>
      <c r="U244" s="76" t="s">
        <v>641</v>
      </c>
      <c r="V244" s="145"/>
      <c r="W244" s="145"/>
    </row>
    <row r="245" spans="1:23" x14ac:dyDescent="0.3">
      <c r="A245" s="67" t="s">
        <v>580</v>
      </c>
      <c r="B245" s="67" t="s">
        <v>263</v>
      </c>
      <c r="C245" s="68"/>
      <c r="D245" s="69"/>
      <c r="E245" s="68"/>
      <c r="F245" s="70"/>
      <c r="G245" s="68" t="s">
        <v>184</v>
      </c>
      <c r="H245" s="49"/>
      <c r="I245" s="50"/>
      <c r="J245" s="50"/>
      <c r="K245" s="51"/>
      <c r="L245" s="52">
        <v>245</v>
      </c>
      <c r="M24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5" s="53"/>
      <c r="O245" s="75" t="s">
        <v>580</v>
      </c>
      <c r="P245" s="75" t="s">
        <v>667</v>
      </c>
      <c r="Q245" s="75">
        <v>2</v>
      </c>
      <c r="R245" s="86">
        <v>42135</v>
      </c>
      <c r="S245" s="86">
        <f>EDATE(Edges[[#This Row],[Start
Time]],Edges[[#This Row],[Duración
(meses)]])</f>
        <v>42288</v>
      </c>
      <c r="T245" s="75">
        <v>5</v>
      </c>
      <c r="U245" s="76" t="s">
        <v>641</v>
      </c>
      <c r="V245" s="145"/>
      <c r="W245" s="145"/>
    </row>
    <row r="246" spans="1:23" x14ac:dyDescent="0.3">
      <c r="A246" s="67" t="s">
        <v>580</v>
      </c>
      <c r="B246" s="67" t="s">
        <v>259</v>
      </c>
      <c r="C246" s="68"/>
      <c r="D246" s="69"/>
      <c r="E246" s="68"/>
      <c r="F246" s="70"/>
      <c r="G246" s="68" t="s">
        <v>184</v>
      </c>
      <c r="H246" s="49"/>
      <c r="I246" s="50"/>
      <c r="J246" s="50"/>
      <c r="K246" s="51"/>
      <c r="L246" s="52">
        <v>246</v>
      </c>
      <c r="M24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6" s="53"/>
      <c r="O246" s="75" t="s">
        <v>580</v>
      </c>
      <c r="P246" s="75" t="s">
        <v>667</v>
      </c>
      <c r="Q246" s="75">
        <v>2</v>
      </c>
      <c r="R246" s="86">
        <v>42135</v>
      </c>
      <c r="S246" s="86">
        <f>EDATE(Edges[[#This Row],[Start
Time]],Edges[[#This Row],[Duración
(meses)]])</f>
        <v>42288</v>
      </c>
      <c r="T246" s="75">
        <v>5</v>
      </c>
      <c r="U246" s="76" t="s">
        <v>641</v>
      </c>
      <c r="V246" s="145"/>
      <c r="W246" s="145"/>
    </row>
    <row r="247" spans="1:23" x14ac:dyDescent="0.3">
      <c r="A247" s="67" t="s">
        <v>185</v>
      </c>
      <c r="B247" s="67" t="s">
        <v>250</v>
      </c>
      <c r="C247" s="68"/>
      <c r="D247" s="69"/>
      <c r="E247" s="68"/>
      <c r="F247" s="70"/>
      <c r="G247" s="68" t="s">
        <v>184</v>
      </c>
      <c r="H247" s="49"/>
      <c r="I247" s="50"/>
      <c r="J247" s="50"/>
      <c r="K247" s="51"/>
      <c r="L247" s="52">
        <v>247</v>
      </c>
      <c r="M24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7" s="53"/>
      <c r="O247" s="75" t="s">
        <v>583</v>
      </c>
      <c r="P247" s="75" t="s">
        <v>583</v>
      </c>
      <c r="Q247" s="75">
        <v>2</v>
      </c>
      <c r="R247" s="86">
        <v>42135</v>
      </c>
      <c r="S247" s="86">
        <f>EDATE(Edges[[#This Row],[Start
Time]],Edges[[#This Row],[Duración
(meses)]])</f>
        <v>42288</v>
      </c>
      <c r="T247" s="75">
        <v>5</v>
      </c>
      <c r="U247" s="76" t="s">
        <v>609</v>
      </c>
      <c r="V247" s="145"/>
      <c r="W247" s="145"/>
    </row>
    <row r="248" spans="1:23" x14ac:dyDescent="0.3">
      <c r="A248" s="67" t="s">
        <v>250</v>
      </c>
      <c r="B248" s="67" t="s">
        <v>583</v>
      </c>
      <c r="C248" s="68"/>
      <c r="D248" s="69"/>
      <c r="E248" s="68"/>
      <c r="F248" s="70"/>
      <c r="G248" s="68" t="s">
        <v>184</v>
      </c>
      <c r="H248" s="49"/>
      <c r="I248" s="50"/>
      <c r="J248" s="50"/>
      <c r="K248" s="51"/>
      <c r="L248" s="52">
        <v>248</v>
      </c>
      <c r="M24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8" s="53"/>
      <c r="O248" s="75" t="s">
        <v>583</v>
      </c>
      <c r="P248" s="75" t="s">
        <v>583</v>
      </c>
      <c r="Q248" s="75">
        <v>2</v>
      </c>
      <c r="R248" s="86">
        <v>42135</v>
      </c>
      <c r="S248" s="86">
        <f>EDATE(Edges[[#This Row],[Start
Time]],Edges[[#This Row],[Duración
(meses)]])</f>
        <v>42288</v>
      </c>
      <c r="T248" s="75">
        <v>5</v>
      </c>
      <c r="U248" s="76" t="s">
        <v>609</v>
      </c>
      <c r="V248" s="145"/>
      <c r="W248" s="145"/>
    </row>
    <row r="249" spans="1:23" x14ac:dyDescent="0.3">
      <c r="A249" s="67" t="s">
        <v>583</v>
      </c>
      <c r="B249" s="67" t="s">
        <v>252</v>
      </c>
      <c r="C249" s="68"/>
      <c r="D249" s="69"/>
      <c r="E249" s="68"/>
      <c r="F249" s="70"/>
      <c r="G249" s="68" t="s">
        <v>184</v>
      </c>
      <c r="H249" s="49"/>
      <c r="I249" s="50"/>
      <c r="J249" s="50"/>
      <c r="K249" s="51"/>
      <c r="L249" s="52">
        <v>249</v>
      </c>
      <c r="M24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49" s="53"/>
      <c r="O249" s="75" t="s">
        <v>583</v>
      </c>
      <c r="P249" s="75" t="s">
        <v>668</v>
      </c>
      <c r="Q249" s="75">
        <v>2</v>
      </c>
      <c r="R249" s="86">
        <v>42135</v>
      </c>
      <c r="S249" s="86">
        <f>EDATE(Edges[[#This Row],[Start
Time]],Edges[[#This Row],[Duración
(meses)]])</f>
        <v>42288</v>
      </c>
      <c r="T249" s="75">
        <v>5</v>
      </c>
      <c r="U249" s="76" t="s">
        <v>609</v>
      </c>
      <c r="V249" s="145"/>
      <c r="W249" s="145"/>
    </row>
    <row r="250" spans="1:23" x14ac:dyDescent="0.3">
      <c r="A250" s="67" t="s">
        <v>185</v>
      </c>
      <c r="B250" s="67" t="s">
        <v>186</v>
      </c>
      <c r="C250" s="68"/>
      <c r="D250" s="69"/>
      <c r="E250" s="68"/>
      <c r="F250" s="70"/>
      <c r="G250" s="68" t="s">
        <v>184</v>
      </c>
      <c r="H250" s="49"/>
      <c r="I250" s="50"/>
      <c r="J250" s="50"/>
      <c r="K250" s="51"/>
      <c r="L250" s="52">
        <v>250</v>
      </c>
      <c r="M25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0" s="53"/>
      <c r="O250" s="75" t="s">
        <v>584</v>
      </c>
      <c r="P250" s="75" t="s">
        <v>584</v>
      </c>
      <c r="Q250" s="75">
        <v>2</v>
      </c>
      <c r="R250" s="86">
        <v>42135</v>
      </c>
      <c r="S250" s="86">
        <f>EDATE(Edges[[#This Row],[Start
Time]],Edges[[#This Row],[Duración
(meses)]])</f>
        <v>42288</v>
      </c>
      <c r="T250" s="75">
        <v>5</v>
      </c>
      <c r="U250" s="76" t="s">
        <v>610</v>
      </c>
      <c r="V250" s="145"/>
      <c r="W250" s="145"/>
    </row>
    <row r="251" spans="1:23" x14ac:dyDescent="0.3">
      <c r="A251" s="67" t="s">
        <v>186</v>
      </c>
      <c r="B251" s="67" t="s">
        <v>584</v>
      </c>
      <c r="C251" s="68"/>
      <c r="D251" s="69"/>
      <c r="E251" s="68"/>
      <c r="F251" s="70"/>
      <c r="G251" s="68" t="s">
        <v>184</v>
      </c>
      <c r="H251" s="49"/>
      <c r="I251" s="50"/>
      <c r="J251" s="50"/>
      <c r="K251" s="51"/>
      <c r="L251" s="52">
        <v>251</v>
      </c>
      <c r="M25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1" s="53"/>
      <c r="O251" s="75" t="s">
        <v>584</v>
      </c>
      <c r="P251" s="75" t="s">
        <v>584</v>
      </c>
      <c r="Q251" s="75">
        <v>2</v>
      </c>
      <c r="R251" s="86">
        <v>42135</v>
      </c>
      <c r="S251" s="86">
        <f>EDATE(Edges[[#This Row],[Start
Time]],Edges[[#This Row],[Duración
(meses)]])</f>
        <v>42288</v>
      </c>
      <c r="T251" s="75">
        <v>5</v>
      </c>
      <c r="U251" s="76" t="s">
        <v>610</v>
      </c>
      <c r="V251" s="145"/>
      <c r="W251" s="145"/>
    </row>
    <row r="252" spans="1:23" x14ac:dyDescent="0.3">
      <c r="A252" s="67" t="s">
        <v>584</v>
      </c>
      <c r="B252" s="67" t="s">
        <v>251</v>
      </c>
      <c r="C252" s="68"/>
      <c r="D252" s="69"/>
      <c r="E252" s="68"/>
      <c r="F252" s="70"/>
      <c r="G252" s="68" t="s">
        <v>184</v>
      </c>
      <c r="H252" s="49"/>
      <c r="I252" s="50"/>
      <c r="J252" s="50"/>
      <c r="K252" s="51"/>
      <c r="L252" s="52">
        <v>252</v>
      </c>
      <c r="M25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2" s="53"/>
      <c r="O252" s="75" t="s">
        <v>584</v>
      </c>
      <c r="P252" s="75" t="s">
        <v>669</v>
      </c>
      <c r="Q252" s="75">
        <v>2</v>
      </c>
      <c r="R252" s="86">
        <v>42135</v>
      </c>
      <c r="S252" s="86">
        <f>EDATE(Edges[[#This Row],[Start
Time]],Edges[[#This Row],[Duración
(meses)]])</f>
        <v>42288</v>
      </c>
      <c r="T252" s="75">
        <v>5</v>
      </c>
      <c r="U252" s="76" t="s">
        <v>610</v>
      </c>
      <c r="V252" s="145"/>
      <c r="W252" s="145"/>
    </row>
    <row r="253" spans="1:23" x14ac:dyDescent="0.3">
      <c r="A253" s="67" t="s">
        <v>381</v>
      </c>
      <c r="B253" s="67" t="s">
        <v>372</v>
      </c>
      <c r="C253" s="68"/>
      <c r="D253" s="69"/>
      <c r="E253" s="68"/>
      <c r="F253" s="70"/>
      <c r="G253" s="68" t="s">
        <v>184</v>
      </c>
      <c r="H253" s="49"/>
      <c r="I253" s="50"/>
      <c r="J253" s="50"/>
      <c r="K253" s="51"/>
      <c r="L253" s="52">
        <v>253</v>
      </c>
      <c r="M25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3" s="53"/>
      <c r="O253" s="75" t="s">
        <v>635</v>
      </c>
      <c r="P253" s="75" t="s">
        <v>635</v>
      </c>
      <c r="Q253" s="75">
        <v>2</v>
      </c>
      <c r="R253" s="86">
        <v>42370</v>
      </c>
      <c r="S253" s="86">
        <f>EDATE(Edges[[#This Row],[Start
Time]],Edges[[#This Row],[Duración
(meses)]])</f>
        <v>43101</v>
      </c>
      <c r="T253" s="75">
        <v>24</v>
      </c>
      <c r="U253" s="76" t="s">
        <v>636</v>
      </c>
      <c r="V253" s="145"/>
      <c r="W253" s="145"/>
    </row>
    <row r="254" spans="1:23" x14ac:dyDescent="0.3">
      <c r="A254" s="67" t="s">
        <v>372</v>
      </c>
      <c r="B254" s="67" t="s">
        <v>585</v>
      </c>
      <c r="C254" s="68"/>
      <c r="D254" s="69"/>
      <c r="E254" s="68"/>
      <c r="F254" s="70"/>
      <c r="G254" s="68" t="s">
        <v>184</v>
      </c>
      <c r="H254" s="49"/>
      <c r="I254" s="50"/>
      <c r="J254" s="50"/>
      <c r="K254" s="51"/>
      <c r="L254" s="52">
        <v>254</v>
      </c>
      <c r="M25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4" s="53"/>
      <c r="O254" s="75" t="s">
        <v>635</v>
      </c>
      <c r="P254" s="75" t="s">
        <v>670</v>
      </c>
      <c r="Q254" s="75">
        <v>2</v>
      </c>
      <c r="R254" s="86">
        <v>42371</v>
      </c>
      <c r="S254" s="86">
        <f>EDATE(Edges[[#This Row],[Start
Time]],Edges[[#This Row],[Duración
(meses)]])</f>
        <v>43102</v>
      </c>
      <c r="T254" s="75">
        <v>24</v>
      </c>
      <c r="U254" s="76" t="s">
        <v>636</v>
      </c>
      <c r="V254" s="145"/>
      <c r="W254" s="145"/>
    </row>
    <row r="255" spans="1:23" x14ac:dyDescent="0.3">
      <c r="A255" s="67" t="s">
        <v>199</v>
      </c>
      <c r="B255" s="67" t="s">
        <v>574</v>
      </c>
      <c r="C255" s="68"/>
      <c r="D255" s="69"/>
      <c r="E255" s="68"/>
      <c r="F255" s="70"/>
      <c r="G255" s="68" t="s">
        <v>184</v>
      </c>
      <c r="H255" s="49"/>
      <c r="I255" s="50"/>
      <c r="J255" s="50"/>
      <c r="K255" s="51"/>
      <c r="L255" s="52">
        <v>255</v>
      </c>
      <c r="M25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5" s="53"/>
      <c r="O255" s="75" t="s">
        <v>658</v>
      </c>
      <c r="P255" s="75" t="s">
        <v>658</v>
      </c>
      <c r="Q255" s="75">
        <v>2</v>
      </c>
      <c r="R255" s="86">
        <v>42217</v>
      </c>
      <c r="S255" s="86">
        <f>EDATE(Edges[[#This Row],[Start
Time]],Edges[[#This Row],[Duración
(meses)]])</f>
        <v>42767</v>
      </c>
      <c r="T255" s="75">
        <v>18</v>
      </c>
      <c r="U255" s="76" t="s">
        <v>659</v>
      </c>
      <c r="V255" s="145"/>
      <c r="W255" s="145"/>
    </row>
    <row r="256" spans="1:23" x14ac:dyDescent="0.3">
      <c r="A256" s="67" t="s">
        <v>199</v>
      </c>
      <c r="B256" s="67" t="s">
        <v>563</v>
      </c>
      <c r="C256" s="68"/>
      <c r="D256" s="69"/>
      <c r="E256" s="68"/>
      <c r="F256" s="70"/>
      <c r="G256" s="68" t="s">
        <v>184</v>
      </c>
      <c r="H256" s="49"/>
      <c r="I256" s="50"/>
      <c r="J256" s="50"/>
      <c r="K256" s="51"/>
      <c r="L256" s="52">
        <v>256</v>
      </c>
      <c r="M25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6" s="53"/>
      <c r="O256" s="75" t="s">
        <v>611</v>
      </c>
      <c r="P256" s="75" t="s">
        <v>611</v>
      </c>
      <c r="Q256" s="75">
        <v>2</v>
      </c>
      <c r="R256" s="86">
        <v>42370</v>
      </c>
      <c r="S256" s="86">
        <f>EDATE(Edges[[#This Row],[Start
Time]],Edges[[#This Row],[Duración
(meses)]])</f>
        <v>42917</v>
      </c>
      <c r="T256" s="75">
        <v>18</v>
      </c>
      <c r="U256" s="76" t="s">
        <v>612</v>
      </c>
      <c r="V256" s="145"/>
      <c r="W256" s="145"/>
    </row>
    <row r="257" spans="1:23" x14ac:dyDescent="0.3">
      <c r="A257" s="67" t="s">
        <v>199</v>
      </c>
      <c r="B257" s="67" t="s">
        <v>372</v>
      </c>
      <c r="C257" s="68"/>
      <c r="D257" s="69"/>
      <c r="E257" s="68"/>
      <c r="F257" s="70"/>
      <c r="G257" s="68" t="s">
        <v>184</v>
      </c>
      <c r="H257" s="49"/>
      <c r="I257" s="50"/>
      <c r="J257" s="50"/>
      <c r="K257" s="51"/>
      <c r="L257" s="52">
        <v>257</v>
      </c>
      <c r="M25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7" s="53"/>
      <c r="O257" s="75" t="s">
        <v>623</v>
      </c>
      <c r="P257" s="75" t="s">
        <v>623</v>
      </c>
      <c r="Q257" s="75">
        <v>2</v>
      </c>
      <c r="R257" s="86">
        <v>42339</v>
      </c>
      <c r="S257" s="86">
        <f>EDATE(Edges[[#This Row],[Start
Time]],Edges[[#This Row],[Duración
(meses)]])</f>
        <v>42887</v>
      </c>
      <c r="T257" s="75">
        <v>18</v>
      </c>
      <c r="U257" s="76" t="s">
        <v>624</v>
      </c>
      <c r="V257" s="145"/>
      <c r="W257" s="145"/>
    </row>
    <row r="258" spans="1:23" x14ac:dyDescent="0.3">
      <c r="A258" s="67" t="s">
        <v>199</v>
      </c>
      <c r="B258" s="67" t="s">
        <v>565</v>
      </c>
      <c r="C258" s="68"/>
      <c r="D258" s="69"/>
      <c r="E258" s="68"/>
      <c r="F258" s="70"/>
      <c r="G258" s="68" t="s">
        <v>184</v>
      </c>
      <c r="H258" s="49"/>
      <c r="I258" s="50"/>
      <c r="J258" s="50"/>
      <c r="K258" s="51"/>
      <c r="L258" s="52">
        <v>258</v>
      </c>
      <c r="M25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8" s="53"/>
      <c r="O258" s="75" t="s">
        <v>625</v>
      </c>
      <c r="P258" s="75" t="s">
        <v>625</v>
      </c>
      <c r="Q258" s="75">
        <v>2</v>
      </c>
      <c r="R258" s="86">
        <v>42339</v>
      </c>
      <c r="S258" s="86">
        <f>EDATE(Edges[[#This Row],[Start
Time]],Edges[[#This Row],[Duración
(meses)]])</f>
        <v>42887</v>
      </c>
      <c r="T258" s="75">
        <v>18</v>
      </c>
      <c r="U258" s="76" t="s">
        <v>626</v>
      </c>
      <c r="V258" s="145"/>
      <c r="W258" s="145"/>
    </row>
    <row r="259" spans="1:23" x14ac:dyDescent="0.3">
      <c r="A259" s="67" t="s">
        <v>199</v>
      </c>
      <c r="B259" s="67" t="s">
        <v>372</v>
      </c>
      <c r="C259" s="68"/>
      <c r="D259" s="69"/>
      <c r="E259" s="68"/>
      <c r="F259" s="70"/>
      <c r="G259" s="68" t="s">
        <v>184</v>
      </c>
      <c r="H259" s="49"/>
      <c r="I259" s="50"/>
      <c r="J259" s="50"/>
      <c r="K259" s="51"/>
      <c r="L259" s="52">
        <v>259</v>
      </c>
      <c r="M25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59" s="53"/>
      <c r="O259" s="75" t="s">
        <v>603</v>
      </c>
      <c r="P259" s="75" t="s">
        <v>603</v>
      </c>
      <c r="Q259" s="75">
        <v>2</v>
      </c>
      <c r="R259" s="86">
        <v>42309</v>
      </c>
      <c r="S259" s="86">
        <f>EDATE(Edges[[#This Row],[Start
Time]],Edges[[#This Row],[Duración
(meses)]])</f>
        <v>42856</v>
      </c>
      <c r="T259" s="75">
        <v>18</v>
      </c>
      <c r="U259" s="76" t="s">
        <v>604</v>
      </c>
      <c r="V259" s="145"/>
      <c r="W259" s="145"/>
    </row>
    <row r="260" spans="1:23" x14ac:dyDescent="0.3">
      <c r="A260" s="67" t="s">
        <v>199</v>
      </c>
      <c r="B260" s="67" t="s">
        <v>372</v>
      </c>
      <c r="C260" s="68"/>
      <c r="D260" s="69"/>
      <c r="E260" s="68"/>
      <c r="F260" s="70"/>
      <c r="G260" s="68" t="s">
        <v>184</v>
      </c>
      <c r="H260" s="49"/>
      <c r="I260" s="50"/>
      <c r="J260" s="50"/>
      <c r="K260" s="51"/>
      <c r="L260" s="52">
        <v>260</v>
      </c>
      <c r="M26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0" s="53"/>
      <c r="O260" s="75" t="s">
        <v>605</v>
      </c>
      <c r="P260" s="75" t="s">
        <v>605</v>
      </c>
      <c r="Q260" s="75">
        <v>2</v>
      </c>
      <c r="R260" s="86">
        <v>42309</v>
      </c>
      <c r="S260" s="86">
        <f>EDATE(Edges[[#This Row],[Start
Time]],Edges[[#This Row],[Duración
(meses)]])</f>
        <v>42856</v>
      </c>
      <c r="T260" s="75">
        <v>18</v>
      </c>
      <c r="U260" s="76" t="s">
        <v>606</v>
      </c>
      <c r="V260" s="145"/>
      <c r="W260" s="145"/>
    </row>
    <row r="261" spans="1:23" x14ac:dyDescent="0.3">
      <c r="A261" s="67" t="s">
        <v>199</v>
      </c>
      <c r="B261" s="67" t="s">
        <v>372</v>
      </c>
      <c r="C261" s="68"/>
      <c r="D261" s="69"/>
      <c r="E261" s="68"/>
      <c r="F261" s="70"/>
      <c r="G261" s="68" t="s">
        <v>184</v>
      </c>
      <c r="H261" s="49"/>
      <c r="I261" s="50"/>
      <c r="J261" s="50"/>
      <c r="K261" s="51"/>
      <c r="L261" s="52">
        <v>261</v>
      </c>
      <c r="M26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1" s="53"/>
      <c r="O261" s="75" t="s">
        <v>639</v>
      </c>
      <c r="P261" s="75" t="s">
        <v>639</v>
      </c>
      <c r="Q261" s="75">
        <v>2</v>
      </c>
      <c r="R261" s="86">
        <v>42309</v>
      </c>
      <c r="S261" s="86">
        <f>EDATE(Edges[[#This Row],[Start
Time]],Edges[[#This Row],[Duración
(meses)]])</f>
        <v>42856</v>
      </c>
      <c r="T261" s="75">
        <v>18</v>
      </c>
      <c r="U261" s="76" t="s">
        <v>640</v>
      </c>
      <c r="V261" s="145"/>
      <c r="W261" s="145"/>
    </row>
    <row r="262" spans="1:23" x14ac:dyDescent="0.3">
      <c r="A262" s="71" t="s">
        <v>199</v>
      </c>
      <c r="B262" s="71" t="s">
        <v>560</v>
      </c>
      <c r="C262" s="79"/>
      <c r="D262" s="80"/>
      <c r="E262" s="79"/>
      <c r="F262" s="81"/>
      <c r="G262" s="79" t="s">
        <v>184</v>
      </c>
      <c r="H262" s="82"/>
      <c r="I262" s="83"/>
      <c r="J262" s="83"/>
      <c r="K262" s="84"/>
      <c r="L262" s="85">
        <v>262</v>
      </c>
      <c r="M262" s="8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2" s="66"/>
      <c r="O262" s="77" t="s">
        <v>594</v>
      </c>
      <c r="P262" s="77" t="s">
        <v>594</v>
      </c>
      <c r="Q262" s="77">
        <v>2</v>
      </c>
      <c r="R262" s="87">
        <v>42278</v>
      </c>
      <c r="S262" s="86">
        <f>EDATE(Edges[[#This Row],[Start
Time]],Edges[[#This Row],[Duración
(meses)]])</f>
        <v>42736</v>
      </c>
      <c r="T262" s="77">
        <v>15</v>
      </c>
      <c r="U262" s="78" t="s">
        <v>595</v>
      </c>
      <c r="V262" s="145"/>
      <c r="W262" s="145"/>
    </row>
    <row r="263" spans="1:23" x14ac:dyDescent="0.3">
      <c r="A263" s="67" t="s">
        <v>199</v>
      </c>
      <c r="B263" s="67" t="s">
        <v>571</v>
      </c>
      <c r="C263" s="68"/>
      <c r="D263" s="69"/>
      <c r="E263" s="68"/>
      <c r="F263" s="70"/>
      <c r="G263" s="68" t="s">
        <v>184</v>
      </c>
      <c r="H263" s="49"/>
      <c r="I263" s="50"/>
      <c r="J263" s="50"/>
      <c r="K263" s="51"/>
      <c r="L263" s="52">
        <v>263</v>
      </c>
      <c r="M26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3" s="53"/>
      <c r="O263" s="75" t="s">
        <v>648</v>
      </c>
      <c r="P263" s="75" t="s">
        <v>648</v>
      </c>
      <c r="Q263" s="75">
        <v>2</v>
      </c>
      <c r="R263" s="86">
        <v>42309</v>
      </c>
      <c r="S263" s="86">
        <f>EDATE(Edges[[#This Row],[Start
Time]],Edges[[#This Row],[Duración
(meses)]])</f>
        <v>42767</v>
      </c>
      <c r="T263" s="75">
        <v>15</v>
      </c>
      <c r="U263" s="76" t="s">
        <v>649</v>
      </c>
      <c r="V263" s="145"/>
      <c r="W263" s="145"/>
    </row>
    <row r="264" spans="1:23" x14ac:dyDescent="0.3">
      <c r="A264" s="67" t="s">
        <v>199</v>
      </c>
      <c r="B264" s="67" t="s">
        <v>564</v>
      </c>
      <c r="C264" s="68"/>
      <c r="D264" s="69"/>
      <c r="E264" s="68"/>
      <c r="F264" s="70"/>
      <c r="G264" s="68" t="s">
        <v>184</v>
      </c>
      <c r="H264" s="49"/>
      <c r="I264" s="50"/>
      <c r="J264" s="50"/>
      <c r="K264" s="51"/>
      <c r="L264" s="52">
        <v>264</v>
      </c>
      <c r="M26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4" s="53"/>
      <c r="O264" s="75" t="s">
        <v>621</v>
      </c>
      <c r="P264" s="75" t="s">
        <v>621</v>
      </c>
      <c r="Q264" s="75">
        <v>2</v>
      </c>
      <c r="R264" s="86">
        <v>42309</v>
      </c>
      <c r="S264" s="86">
        <f>EDATE(Edges[[#This Row],[Start
Time]],Edges[[#This Row],[Duración
(meses)]])</f>
        <v>42856</v>
      </c>
      <c r="T264" s="75">
        <v>18</v>
      </c>
      <c r="U264" s="76" t="s">
        <v>622</v>
      </c>
      <c r="V264" s="145"/>
      <c r="W264" s="145"/>
    </row>
    <row r="265" spans="1:23" x14ac:dyDescent="0.3">
      <c r="A265" s="67" t="s">
        <v>199</v>
      </c>
      <c r="B265" s="67" t="s">
        <v>372</v>
      </c>
      <c r="C265" s="68"/>
      <c r="D265" s="69"/>
      <c r="E265" s="68"/>
      <c r="F265" s="70"/>
      <c r="G265" s="68" t="s">
        <v>184</v>
      </c>
      <c r="H265" s="49"/>
      <c r="I265" s="50"/>
      <c r="J265" s="50"/>
      <c r="K265" s="51"/>
      <c r="L265" s="52">
        <v>265</v>
      </c>
      <c r="M26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5" s="53"/>
      <c r="O265" s="75" t="s">
        <v>656</v>
      </c>
      <c r="P265" s="75" t="s">
        <v>656</v>
      </c>
      <c r="Q265" s="75">
        <v>2</v>
      </c>
      <c r="R265" s="86">
        <v>42339</v>
      </c>
      <c r="S265" s="86">
        <f>EDATE(Edges[[#This Row],[Start
Time]],Edges[[#This Row],[Duración
(meses)]])</f>
        <v>42826</v>
      </c>
      <c r="T265" s="75">
        <v>16</v>
      </c>
      <c r="U265" s="76" t="s">
        <v>657</v>
      </c>
      <c r="V265" s="145"/>
      <c r="W265" s="145"/>
    </row>
    <row r="266" spans="1:23" x14ac:dyDescent="0.3">
      <c r="A266" s="67" t="s">
        <v>199</v>
      </c>
      <c r="B266" s="67" t="s">
        <v>572</v>
      </c>
      <c r="C266" s="68"/>
      <c r="D266" s="69"/>
      <c r="E266" s="68"/>
      <c r="F266" s="70"/>
      <c r="G266" s="68" t="s">
        <v>184</v>
      </c>
      <c r="H266" s="49"/>
      <c r="I266" s="50"/>
      <c r="J266" s="50"/>
      <c r="K266" s="51"/>
      <c r="L266" s="52">
        <v>266</v>
      </c>
      <c r="M26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6" s="53"/>
      <c r="O266" s="75" t="s">
        <v>650</v>
      </c>
      <c r="P266" s="75" t="s">
        <v>650</v>
      </c>
      <c r="Q266" s="75">
        <v>2</v>
      </c>
      <c r="R266" s="86">
        <v>42339</v>
      </c>
      <c r="S266" s="86">
        <f>EDATE(Edges[[#This Row],[Start
Time]],Edges[[#This Row],[Duración
(meses)]])</f>
        <v>42887</v>
      </c>
      <c r="T266" s="75">
        <v>18</v>
      </c>
      <c r="U266" s="76" t="s">
        <v>651</v>
      </c>
      <c r="V266" s="145"/>
      <c r="W266" s="145"/>
    </row>
    <row r="267" spans="1:23" x14ac:dyDescent="0.3">
      <c r="A267" s="67" t="s">
        <v>199</v>
      </c>
      <c r="B267" s="67" t="s">
        <v>572</v>
      </c>
      <c r="C267" s="68"/>
      <c r="D267" s="69"/>
      <c r="E267" s="68"/>
      <c r="F267" s="70"/>
      <c r="G267" s="68" t="s">
        <v>184</v>
      </c>
      <c r="H267" s="49"/>
      <c r="I267" s="50"/>
      <c r="J267" s="50"/>
      <c r="K267" s="51"/>
      <c r="L267" s="52">
        <v>267</v>
      </c>
      <c r="M26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7" s="53"/>
      <c r="O267" s="75" t="s">
        <v>652</v>
      </c>
      <c r="P267" s="75" t="s">
        <v>652</v>
      </c>
      <c r="Q267" s="75">
        <v>2</v>
      </c>
      <c r="R267" s="86">
        <v>42339</v>
      </c>
      <c r="S267" s="86">
        <f>EDATE(Edges[[#This Row],[Start
Time]],Edges[[#This Row],[Duración
(meses)]])</f>
        <v>42887</v>
      </c>
      <c r="T267" s="75">
        <v>18</v>
      </c>
      <c r="U267" s="76" t="s">
        <v>653</v>
      </c>
      <c r="V267" s="145"/>
      <c r="W267" s="145"/>
    </row>
    <row r="268" spans="1:23" x14ac:dyDescent="0.3">
      <c r="A268" s="67" t="s">
        <v>393</v>
      </c>
      <c r="B268" s="67" t="s">
        <v>573</v>
      </c>
      <c r="C268" s="68"/>
      <c r="D268" s="69"/>
      <c r="E268" s="68"/>
      <c r="F268" s="70"/>
      <c r="G268" s="68" t="s">
        <v>184</v>
      </c>
      <c r="H268" s="49"/>
      <c r="I268" s="50"/>
      <c r="J268" s="50"/>
      <c r="K268" s="51"/>
      <c r="L268" s="52">
        <v>268</v>
      </c>
      <c r="M26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8" s="53"/>
      <c r="O268" s="75" t="s">
        <v>654</v>
      </c>
      <c r="P268" s="75" t="s">
        <v>654</v>
      </c>
      <c r="Q268" s="75">
        <v>2</v>
      </c>
      <c r="R268" s="86">
        <v>42173</v>
      </c>
      <c r="S268" s="86">
        <f>EDATE(Edges[[#This Row],[Start
Time]],Edges[[#This Row],[Duración
(meses)]])</f>
        <v>42295</v>
      </c>
      <c r="T268" s="75">
        <v>4</v>
      </c>
      <c r="U268" s="76" t="s">
        <v>655</v>
      </c>
      <c r="V268" s="145"/>
      <c r="W268" s="145"/>
    </row>
    <row r="269" spans="1:23" x14ac:dyDescent="0.3">
      <c r="A269" s="67" t="s">
        <v>393</v>
      </c>
      <c r="B269" s="67" t="s">
        <v>235</v>
      </c>
      <c r="C269" s="68"/>
      <c r="D269" s="69"/>
      <c r="E269" s="68"/>
      <c r="F269" s="70"/>
      <c r="G269" s="68" t="s">
        <v>184</v>
      </c>
      <c r="H269" s="49"/>
      <c r="I269" s="50"/>
      <c r="J269" s="50"/>
      <c r="K269" s="51"/>
      <c r="L269" s="52">
        <v>269</v>
      </c>
      <c r="M26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69" s="53"/>
      <c r="O269" s="75" t="s">
        <v>637</v>
      </c>
      <c r="P269" s="75" t="s">
        <v>637</v>
      </c>
      <c r="Q269" s="75">
        <v>2</v>
      </c>
      <c r="R269" s="86">
        <v>42270</v>
      </c>
      <c r="S269" s="86">
        <f>EDATE(Edges[[#This Row],[Start
Time]],Edges[[#This Row],[Duración
(meses)]])</f>
        <v>42361</v>
      </c>
      <c r="T269" s="75">
        <v>3</v>
      </c>
      <c r="U269" s="76" t="s">
        <v>638</v>
      </c>
      <c r="V269" s="145"/>
      <c r="W269" s="145"/>
    </row>
    <row r="270" spans="1:23" x14ac:dyDescent="0.3">
      <c r="A270" s="67" t="s">
        <v>235</v>
      </c>
      <c r="B270" s="67" t="s">
        <v>586</v>
      </c>
      <c r="C270" s="68"/>
      <c r="D270" s="69"/>
      <c r="E270" s="68"/>
      <c r="F270" s="70"/>
      <c r="G270" s="68" t="s">
        <v>184</v>
      </c>
      <c r="H270" s="49"/>
      <c r="I270" s="50"/>
      <c r="J270" s="50"/>
      <c r="K270" s="51"/>
      <c r="L270" s="52">
        <v>270</v>
      </c>
      <c r="M27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0" s="53"/>
      <c r="O270" s="75" t="s">
        <v>637</v>
      </c>
      <c r="P270" s="75" t="s">
        <v>671</v>
      </c>
      <c r="Q270" s="75">
        <v>2</v>
      </c>
      <c r="R270" s="86">
        <v>42270</v>
      </c>
      <c r="S270" s="86">
        <f>EDATE(Edges[[#This Row],[Start
Time]],Edges[[#This Row],[Duración
(meses)]])</f>
        <v>42361</v>
      </c>
      <c r="T270" s="75">
        <v>3</v>
      </c>
      <c r="U270" s="76" t="s">
        <v>638</v>
      </c>
      <c r="V270" s="145"/>
      <c r="W270" s="145"/>
    </row>
    <row r="271" spans="1:23" x14ac:dyDescent="0.3">
      <c r="A271" s="67" t="s">
        <v>388</v>
      </c>
      <c r="B271" s="67" t="s">
        <v>563</v>
      </c>
      <c r="C271" s="68"/>
      <c r="D271" s="69"/>
      <c r="E271" s="68"/>
      <c r="F271" s="70"/>
      <c r="G271" s="68" t="s">
        <v>184</v>
      </c>
      <c r="H271" s="49"/>
      <c r="I271" s="50"/>
      <c r="J271" s="50"/>
      <c r="K271" s="51"/>
      <c r="L271" s="52">
        <v>271</v>
      </c>
      <c r="M27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1" s="53"/>
      <c r="O271" s="75" t="s">
        <v>615</v>
      </c>
      <c r="P271" s="75" t="s">
        <v>615</v>
      </c>
      <c r="Q271" s="75">
        <v>2</v>
      </c>
      <c r="R271" s="86">
        <v>42309</v>
      </c>
      <c r="S271" s="86">
        <f>EDATE(Edges[[#This Row],[Start
Time]],Edges[[#This Row],[Duración
(meses)]])</f>
        <v>42583</v>
      </c>
      <c r="T271" s="75">
        <v>9</v>
      </c>
      <c r="U271" s="76" t="s">
        <v>616</v>
      </c>
      <c r="V271" s="145"/>
      <c r="W271" s="145"/>
    </row>
    <row r="272" spans="1:23" x14ac:dyDescent="0.3">
      <c r="A272" s="67" t="s">
        <v>386</v>
      </c>
      <c r="B272" s="67" t="s">
        <v>234</v>
      </c>
      <c r="C272" s="68"/>
      <c r="D272" s="69"/>
      <c r="E272" s="68"/>
      <c r="F272" s="70"/>
      <c r="G272" s="68" t="s">
        <v>184</v>
      </c>
      <c r="H272" s="49"/>
      <c r="I272" s="50"/>
      <c r="J272" s="50"/>
      <c r="K272" s="51"/>
      <c r="L272" s="52">
        <v>272</v>
      </c>
      <c r="M27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2" s="53"/>
      <c r="O272" s="75" t="s">
        <v>613</v>
      </c>
      <c r="P272" s="75" t="s">
        <v>613</v>
      </c>
      <c r="Q272" s="75">
        <v>2</v>
      </c>
      <c r="R272" s="86">
        <v>42705</v>
      </c>
      <c r="S272" s="86">
        <f>EDATE(Edges[[#This Row],[Start
Time]],Edges[[#This Row],[Duración
(meses)]])</f>
        <v>43435</v>
      </c>
      <c r="T272" s="75">
        <v>24</v>
      </c>
      <c r="U272" s="76" t="s">
        <v>614</v>
      </c>
      <c r="V272" s="145"/>
      <c r="W272" s="145"/>
    </row>
    <row r="273" spans="1:23" x14ac:dyDescent="0.3">
      <c r="A273" s="67" t="s">
        <v>234</v>
      </c>
      <c r="B273" s="67" t="s">
        <v>250</v>
      </c>
      <c r="C273" s="68"/>
      <c r="D273" s="69"/>
      <c r="E273" s="68"/>
      <c r="F273" s="70"/>
      <c r="G273" s="68" t="s">
        <v>184</v>
      </c>
      <c r="H273" s="49"/>
      <c r="I273" s="50"/>
      <c r="J273" s="50"/>
      <c r="K273" s="51"/>
      <c r="L273" s="52">
        <v>273</v>
      </c>
      <c r="M27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3" s="53"/>
      <c r="O273" s="75" t="s">
        <v>613</v>
      </c>
      <c r="P273" s="75" t="s">
        <v>672</v>
      </c>
      <c r="Q273" s="75">
        <v>2</v>
      </c>
      <c r="R273" s="86">
        <v>42705</v>
      </c>
      <c r="S273" s="86">
        <f>EDATE(Edges[[#This Row],[Start
Time]],Edges[[#This Row],[Duración
(meses)]])</f>
        <v>43435</v>
      </c>
      <c r="T273" s="75">
        <v>24</v>
      </c>
      <c r="U273" s="76" t="s">
        <v>614</v>
      </c>
      <c r="V273" s="145"/>
      <c r="W273" s="145"/>
    </row>
    <row r="274" spans="1:23" x14ac:dyDescent="0.3">
      <c r="A274" s="67" t="s">
        <v>234</v>
      </c>
      <c r="B274" s="67" t="s">
        <v>396</v>
      </c>
      <c r="C274" s="68"/>
      <c r="D274" s="69"/>
      <c r="E274" s="68"/>
      <c r="F274" s="70"/>
      <c r="G274" s="68" t="s">
        <v>184</v>
      </c>
      <c r="H274" s="49"/>
      <c r="I274" s="50"/>
      <c r="J274" s="50"/>
      <c r="K274" s="51"/>
      <c r="L274" s="52">
        <v>274</v>
      </c>
      <c r="M27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4" s="53"/>
      <c r="O274" s="75" t="s">
        <v>613</v>
      </c>
      <c r="P274" s="75" t="s">
        <v>672</v>
      </c>
      <c r="Q274" s="75">
        <v>2</v>
      </c>
      <c r="R274" s="86">
        <v>42705</v>
      </c>
      <c r="S274" s="86">
        <f>EDATE(Edges[[#This Row],[Start
Time]],Edges[[#This Row],[Duración
(meses)]])</f>
        <v>43435</v>
      </c>
      <c r="T274" s="75">
        <v>24</v>
      </c>
      <c r="U274" s="76" t="s">
        <v>614</v>
      </c>
      <c r="V274" s="145"/>
      <c r="W274" s="145"/>
    </row>
    <row r="275" spans="1:23" x14ac:dyDescent="0.3">
      <c r="A275" s="67" t="s">
        <v>234</v>
      </c>
      <c r="B275" s="67" t="s">
        <v>303</v>
      </c>
      <c r="C275" s="68"/>
      <c r="D275" s="69"/>
      <c r="E275" s="68"/>
      <c r="F275" s="70"/>
      <c r="G275" s="68" t="s">
        <v>184</v>
      </c>
      <c r="H275" s="49"/>
      <c r="I275" s="50"/>
      <c r="J275" s="50"/>
      <c r="K275" s="51"/>
      <c r="L275" s="52">
        <v>275</v>
      </c>
      <c r="M27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5" s="53"/>
      <c r="O275" s="75" t="s">
        <v>613</v>
      </c>
      <c r="P275" s="75" t="s">
        <v>672</v>
      </c>
      <c r="Q275" s="75">
        <v>2</v>
      </c>
      <c r="R275" s="86">
        <v>42705</v>
      </c>
      <c r="S275" s="86">
        <f>EDATE(Edges[[#This Row],[Start
Time]],Edges[[#This Row],[Duración
(meses)]])</f>
        <v>43435</v>
      </c>
      <c r="T275" s="75">
        <v>24</v>
      </c>
      <c r="U275" s="76" t="s">
        <v>614</v>
      </c>
      <c r="V275" s="145"/>
      <c r="W275" s="145"/>
    </row>
    <row r="276" spans="1:23" x14ac:dyDescent="0.3">
      <c r="A276" s="67" t="s">
        <v>234</v>
      </c>
      <c r="B276" s="67" t="s">
        <v>298</v>
      </c>
      <c r="C276" s="68"/>
      <c r="D276" s="69"/>
      <c r="E276" s="68"/>
      <c r="F276" s="70"/>
      <c r="G276" s="68" t="s">
        <v>184</v>
      </c>
      <c r="H276" s="49"/>
      <c r="I276" s="50"/>
      <c r="J276" s="50"/>
      <c r="K276" s="51"/>
      <c r="L276" s="52">
        <v>276</v>
      </c>
      <c r="M27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6" s="53"/>
      <c r="O276" s="75" t="s">
        <v>613</v>
      </c>
      <c r="P276" s="75" t="s">
        <v>673</v>
      </c>
      <c r="Q276" s="75">
        <v>2</v>
      </c>
      <c r="R276" s="86">
        <v>42705</v>
      </c>
      <c r="S276" s="86">
        <f>EDATE(Edges[[#This Row],[Start
Time]],Edges[[#This Row],[Duración
(meses)]])</f>
        <v>43435</v>
      </c>
      <c r="T276" s="75">
        <v>24</v>
      </c>
      <c r="U276" s="76" t="s">
        <v>614</v>
      </c>
      <c r="V276" s="145"/>
      <c r="W276" s="145"/>
    </row>
    <row r="277" spans="1:23" x14ac:dyDescent="0.3">
      <c r="A277" s="67" t="s">
        <v>386</v>
      </c>
      <c r="B277" s="67" t="s">
        <v>245</v>
      </c>
      <c r="C277" s="68"/>
      <c r="D277" s="69"/>
      <c r="E277" s="68"/>
      <c r="F277" s="70"/>
      <c r="G277" s="68" t="s">
        <v>184</v>
      </c>
      <c r="H277" s="49"/>
      <c r="I277" s="50"/>
      <c r="J277" s="50"/>
      <c r="K277" s="51"/>
      <c r="L277" s="52">
        <v>277</v>
      </c>
      <c r="M27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7" s="53"/>
      <c r="O277" s="75" t="s">
        <v>619</v>
      </c>
      <c r="P277" s="75" t="s">
        <v>619</v>
      </c>
      <c r="Q277" s="75">
        <v>2</v>
      </c>
      <c r="R277" s="86">
        <v>42644</v>
      </c>
      <c r="S277" s="86">
        <f>EDATE(Edges[[#This Row],[Start
Time]],Edges[[#This Row],[Duración
(meses)]])</f>
        <v>43739</v>
      </c>
      <c r="T277" s="75">
        <v>36</v>
      </c>
      <c r="U277" s="76" t="s">
        <v>620</v>
      </c>
      <c r="V277" s="145"/>
      <c r="W277" s="145"/>
    </row>
    <row r="278" spans="1:23" x14ac:dyDescent="0.3">
      <c r="A278" s="67" t="s">
        <v>245</v>
      </c>
      <c r="B278" s="67" t="s">
        <v>396</v>
      </c>
      <c r="C278" s="68"/>
      <c r="D278" s="69"/>
      <c r="E278" s="68"/>
      <c r="F278" s="70"/>
      <c r="G278" s="68" t="s">
        <v>184</v>
      </c>
      <c r="H278" s="49"/>
      <c r="I278" s="50"/>
      <c r="J278" s="50"/>
      <c r="K278" s="51"/>
      <c r="L278" s="52">
        <v>278</v>
      </c>
      <c r="M27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8" s="53"/>
      <c r="O278" s="75" t="s">
        <v>619</v>
      </c>
      <c r="P278" s="75" t="s">
        <v>674</v>
      </c>
      <c r="Q278" s="75">
        <v>2</v>
      </c>
      <c r="R278" s="86">
        <v>42644</v>
      </c>
      <c r="S278" s="86">
        <f>EDATE(Edges[[#This Row],[Start
Time]],Edges[[#This Row],[Duración
(meses)]])</f>
        <v>43739</v>
      </c>
      <c r="T278" s="75">
        <v>36</v>
      </c>
      <c r="U278" s="76" t="s">
        <v>620</v>
      </c>
      <c r="V278" s="145"/>
      <c r="W278" s="145"/>
    </row>
    <row r="279" spans="1:23" x14ac:dyDescent="0.3">
      <c r="A279" s="67" t="s">
        <v>386</v>
      </c>
      <c r="B279" s="67" t="s">
        <v>300</v>
      </c>
      <c r="C279" s="68"/>
      <c r="D279" s="69"/>
      <c r="E279" s="68"/>
      <c r="F279" s="70"/>
      <c r="G279" s="68" t="s">
        <v>184</v>
      </c>
      <c r="H279" s="49"/>
      <c r="I279" s="50"/>
      <c r="J279" s="50"/>
      <c r="K279" s="51"/>
      <c r="L279" s="52">
        <v>279</v>
      </c>
      <c r="M27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79" s="53"/>
      <c r="O279" s="75" t="s">
        <v>596</v>
      </c>
      <c r="P279" s="75" t="s">
        <v>596</v>
      </c>
      <c r="Q279" s="75">
        <v>2</v>
      </c>
      <c r="R279" s="86">
        <v>42675</v>
      </c>
      <c r="S279" s="86">
        <f>EDATE(Edges[[#This Row],[Start
Time]],Edges[[#This Row],[Duración
(meses)]])</f>
        <v>43405</v>
      </c>
      <c r="T279" s="75">
        <v>24</v>
      </c>
      <c r="U279" s="76" t="s">
        <v>597</v>
      </c>
      <c r="V279" s="145"/>
      <c r="W279" s="145"/>
    </row>
    <row r="280" spans="1:23" x14ac:dyDescent="0.3">
      <c r="A280" s="67" t="s">
        <v>300</v>
      </c>
      <c r="B280" s="67" t="s">
        <v>396</v>
      </c>
      <c r="C280" s="68"/>
      <c r="D280" s="69"/>
      <c r="E280" s="68"/>
      <c r="F280" s="70"/>
      <c r="G280" s="68" t="s">
        <v>184</v>
      </c>
      <c r="H280" s="49"/>
      <c r="I280" s="50"/>
      <c r="J280" s="50"/>
      <c r="K280" s="51"/>
      <c r="L280" s="52">
        <v>280</v>
      </c>
      <c r="M28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0" s="53"/>
      <c r="O280" s="75" t="s">
        <v>596</v>
      </c>
      <c r="P280" s="75" t="s">
        <v>675</v>
      </c>
      <c r="Q280" s="75">
        <v>2</v>
      </c>
      <c r="R280" s="86">
        <v>42675</v>
      </c>
      <c r="S280" s="86">
        <f>EDATE(Edges[[#This Row],[Start
Time]],Edges[[#This Row],[Duración
(meses)]])</f>
        <v>43405</v>
      </c>
      <c r="T280" s="75">
        <v>24</v>
      </c>
      <c r="U280" s="76" t="s">
        <v>597</v>
      </c>
      <c r="V280" s="145"/>
      <c r="W280" s="145"/>
    </row>
    <row r="281" spans="1:23" x14ac:dyDescent="0.3">
      <c r="A281" s="67" t="s">
        <v>300</v>
      </c>
      <c r="B281" s="67" t="s">
        <v>250</v>
      </c>
      <c r="C281" s="68"/>
      <c r="D281" s="69"/>
      <c r="E281" s="68"/>
      <c r="F281" s="70"/>
      <c r="G281" s="68" t="s">
        <v>184</v>
      </c>
      <c r="H281" s="49"/>
      <c r="I281" s="50"/>
      <c r="J281" s="50"/>
      <c r="K281" s="51"/>
      <c r="L281" s="52">
        <v>281</v>
      </c>
      <c r="M28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1" s="53"/>
      <c r="O281" s="75" t="s">
        <v>596</v>
      </c>
      <c r="P281" s="75" t="s">
        <v>675</v>
      </c>
      <c r="Q281" s="75">
        <v>2</v>
      </c>
      <c r="R281" s="86">
        <v>42675</v>
      </c>
      <c r="S281" s="86">
        <f>EDATE(Edges[[#This Row],[Start
Time]],Edges[[#This Row],[Duración
(meses)]])</f>
        <v>43405</v>
      </c>
      <c r="T281" s="75">
        <v>24</v>
      </c>
      <c r="U281" s="76" t="s">
        <v>597</v>
      </c>
      <c r="V281" s="145"/>
      <c r="W281" s="145"/>
    </row>
    <row r="282" spans="1:23" x14ac:dyDescent="0.3">
      <c r="A282" s="67" t="s">
        <v>386</v>
      </c>
      <c r="B282" s="67" t="s">
        <v>570</v>
      </c>
      <c r="C282" s="68"/>
      <c r="D282" s="69"/>
      <c r="E282" s="68"/>
      <c r="F282" s="70"/>
      <c r="G282" s="68" t="s">
        <v>184</v>
      </c>
      <c r="H282" s="49"/>
      <c r="I282" s="50"/>
      <c r="J282" s="50"/>
      <c r="K282" s="51"/>
      <c r="L282" s="52">
        <v>282</v>
      </c>
      <c r="M28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2" s="53"/>
      <c r="O282" s="75" t="s">
        <v>646</v>
      </c>
      <c r="P282" s="75" t="s">
        <v>646</v>
      </c>
      <c r="Q282" s="75">
        <v>2</v>
      </c>
      <c r="R282" s="86">
        <v>42675</v>
      </c>
      <c r="S282" s="86">
        <f>EDATE(Edges[[#This Row],[Start
Time]],Edges[[#This Row],[Duración
(meses)]])</f>
        <v>43160</v>
      </c>
      <c r="T282" s="75">
        <v>16</v>
      </c>
      <c r="U282" s="76" t="s">
        <v>647</v>
      </c>
      <c r="V282" s="145"/>
      <c r="W282" s="145"/>
    </row>
    <row r="283" spans="1:23" x14ac:dyDescent="0.3">
      <c r="A283" s="67" t="s">
        <v>570</v>
      </c>
      <c r="B283" s="67" t="s">
        <v>222</v>
      </c>
      <c r="C283" s="68"/>
      <c r="D283" s="69"/>
      <c r="E283" s="68"/>
      <c r="F283" s="70"/>
      <c r="G283" s="68" t="s">
        <v>184</v>
      </c>
      <c r="H283" s="49"/>
      <c r="I283" s="50"/>
      <c r="J283" s="50"/>
      <c r="K283" s="51"/>
      <c r="L283" s="52">
        <v>283</v>
      </c>
      <c r="M28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3" s="53"/>
      <c r="O283" s="75" t="s">
        <v>646</v>
      </c>
      <c r="P283" s="75" t="s">
        <v>676</v>
      </c>
      <c r="Q283" s="75">
        <v>2</v>
      </c>
      <c r="R283" s="86">
        <v>42675</v>
      </c>
      <c r="S283" s="86">
        <f>EDATE(Edges[[#This Row],[Start
Time]],Edges[[#This Row],[Duración
(meses)]])</f>
        <v>43160</v>
      </c>
      <c r="T283" s="75">
        <v>16</v>
      </c>
      <c r="U283" s="76" t="s">
        <v>647</v>
      </c>
      <c r="V283" s="145"/>
      <c r="W283" s="145"/>
    </row>
    <row r="284" spans="1:23" x14ac:dyDescent="0.3">
      <c r="A284" s="67" t="s">
        <v>570</v>
      </c>
      <c r="B284" s="67" t="s">
        <v>291</v>
      </c>
      <c r="C284" s="68"/>
      <c r="D284" s="69"/>
      <c r="E284" s="68"/>
      <c r="F284" s="70"/>
      <c r="G284" s="68" t="s">
        <v>184</v>
      </c>
      <c r="H284" s="49"/>
      <c r="I284" s="50"/>
      <c r="J284" s="50"/>
      <c r="K284" s="51"/>
      <c r="L284" s="52">
        <v>284</v>
      </c>
      <c r="M28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4" s="53"/>
      <c r="O284" s="75" t="s">
        <v>646</v>
      </c>
      <c r="P284" s="75" t="s">
        <v>676</v>
      </c>
      <c r="Q284" s="75">
        <v>2</v>
      </c>
      <c r="R284" s="86">
        <v>42675</v>
      </c>
      <c r="S284" s="86">
        <f>EDATE(Edges[[#This Row],[Start
Time]],Edges[[#This Row],[Duración
(meses)]])</f>
        <v>43160</v>
      </c>
      <c r="T284" s="75">
        <v>16</v>
      </c>
      <c r="U284" s="76" t="s">
        <v>647</v>
      </c>
      <c r="V284" s="145"/>
      <c r="W284" s="145"/>
    </row>
    <row r="285" spans="1:23" x14ac:dyDescent="0.3">
      <c r="A285" s="67" t="s">
        <v>386</v>
      </c>
      <c r="B285" s="67" t="s">
        <v>568</v>
      </c>
      <c r="C285" s="68"/>
      <c r="D285" s="69"/>
      <c r="E285" s="68"/>
      <c r="F285" s="70"/>
      <c r="G285" s="68" t="s">
        <v>184</v>
      </c>
      <c r="H285" s="49"/>
      <c r="I285" s="50"/>
      <c r="J285" s="50"/>
      <c r="K285" s="51"/>
      <c r="L285" s="52">
        <v>285</v>
      </c>
      <c r="M28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5" s="53"/>
      <c r="O285" s="75" t="s">
        <v>633</v>
      </c>
      <c r="P285" s="75" t="s">
        <v>633</v>
      </c>
      <c r="Q285" s="75">
        <v>2</v>
      </c>
      <c r="R285" s="86">
        <v>42675</v>
      </c>
      <c r="S285" s="86">
        <f>EDATE(Edges[[#This Row],[Start
Time]],Edges[[#This Row],[Duración
(meses)]])</f>
        <v>43132</v>
      </c>
      <c r="T285" s="75">
        <v>15</v>
      </c>
      <c r="U285" s="76" t="s">
        <v>634</v>
      </c>
      <c r="V285" s="145"/>
      <c r="W285" s="145"/>
    </row>
    <row r="286" spans="1:23" x14ac:dyDescent="0.3">
      <c r="A286" s="67" t="s">
        <v>568</v>
      </c>
      <c r="B286" s="67" t="s">
        <v>350</v>
      </c>
      <c r="C286" s="68"/>
      <c r="D286" s="69"/>
      <c r="E286" s="68"/>
      <c r="F286" s="70"/>
      <c r="G286" s="68" t="s">
        <v>184</v>
      </c>
      <c r="H286" s="49"/>
      <c r="I286" s="50"/>
      <c r="J286" s="50"/>
      <c r="K286" s="51"/>
      <c r="L286" s="52">
        <v>286</v>
      </c>
      <c r="M28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6" s="53"/>
      <c r="O286" s="75" t="s">
        <v>633</v>
      </c>
      <c r="P286" s="75" t="s">
        <v>677</v>
      </c>
      <c r="Q286" s="75">
        <v>2</v>
      </c>
      <c r="R286" s="86">
        <v>42675</v>
      </c>
      <c r="S286" s="86">
        <f>EDATE(Edges[[#This Row],[Start
Time]],Edges[[#This Row],[Duración
(meses)]])</f>
        <v>43132</v>
      </c>
      <c r="T286" s="75">
        <v>15</v>
      </c>
      <c r="U286" s="76" t="s">
        <v>634</v>
      </c>
      <c r="V286" s="145"/>
      <c r="W286" s="145"/>
    </row>
    <row r="287" spans="1:23" x14ac:dyDescent="0.3">
      <c r="A287" s="67" t="s">
        <v>185</v>
      </c>
      <c r="B287" s="67" t="s">
        <v>257</v>
      </c>
      <c r="C287" s="68"/>
      <c r="D287" s="69"/>
      <c r="E287" s="68"/>
      <c r="F287" s="70"/>
      <c r="G287" s="68" t="s">
        <v>184</v>
      </c>
      <c r="H287" s="49"/>
      <c r="I287" s="50"/>
      <c r="J287" s="50"/>
      <c r="K287" s="51"/>
      <c r="L287" s="52">
        <v>287</v>
      </c>
      <c r="M28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7" s="53"/>
      <c r="O287" s="75" t="s">
        <v>600</v>
      </c>
      <c r="P287" s="75" t="s">
        <v>600</v>
      </c>
      <c r="Q287" s="75">
        <v>2</v>
      </c>
      <c r="R287" s="86">
        <v>42374</v>
      </c>
      <c r="S287" s="86">
        <f>EDATE(Edges[[#This Row],[Start
Time]],Edges[[#This Row],[Duración
(meses)]])</f>
        <v>43470</v>
      </c>
      <c r="T287" s="75">
        <v>36</v>
      </c>
      <c r="U287" s="76" t="s">
        <v>601</v>
      </c>
      <c r="V287" s="145"/>
      <c r="W287" s="145"/>
    </row>
    <row r="288" spans="1:23" x14ac:dyDescent="0.3">
      <c r="A288" s="67" t="s">
        <v>257</v>
      </c>
      <c r="B288" s="67" t="s">
        <v>310</v>
      </c>
      <c r="C288" s="68"/>
      <c r="D288" s="69"/>
      <c r="E288" s="68"/>
      <c r="F288" s="70"/>
      <c r="G288" s="68" t="s">
        <v>184</v>
      </c>
      <c r="H288" s="49"/>
      <c r="I288" s="50"/>
      <c r="J288" s="50"/>
      <c r="K288" s="51"/>
      <c r="L288" s="52">
        <v>288</v>
      </c>
      <c r="M28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8" s="53"/>
      <c r="O288" s="75" t="s">
        <v>600</v>
      </c>
      <c r="P288" s="75" t="s">
        <v>600</v>
      </c>
      <c r="Q288" s="75">
        <v>2</v>
      </c>
      <c r="R288" s="86">
        <v>42374</v>
      </c>
      <c r="S288" s="86">
        <f>EDATE(Edges[[#This Row],[Start
Time]],Edges[[#This Row],[Duración
(meses)]])</f>
        <v>43470</v>
      </c>
      <c r="T288" s="75">
        <v>36</v>
      </c>
      <c r="U288" s="76" t="s">
        <v>601</v>
      </c>
      <c r="V288" s="145"/>
      <c r="W288" s="145"/>
    </row>
    <row r="289" spans="1:23" x14ac:dyDescent="0.3">
      <c r="A289" s="67" t="s">
        <v>310</v>
      </c>
      <c r="B289" s="67" t="s">
        <v>303</v>
      </c>
      <c r="C289" s="68"/>
      <c r="D289" s="69"/>
      <c r="E289" s="68"/>
      <c r="F289" s="70"/>
      <c r="G289" s="68" t="s">
        <v>184</v>
      </c>
      <c r="H289" s="49"/>
      <c r="I289" s="50"/>
      <c r="J289" s="50"/>
      <c r="K289" s="51"/>
      <c r="L289" s="52">
        <v>289</v>
      </c>
      <c r="M28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89" s="53"/>
      <c r="O289" s="75" t="s">
        <v>600</v>
      </c>
      <c r="P289" s="75" t="s">
        <v>678</v>
      </c>
      <c r="Q289" s="75">
        <v>2</v>
      </c>
      <c r="R289" s="86">
        <v>42374</v>
      </c>
      <c r="S289" s="86">
        <f>EDATE(Edges[[#This Row],[Start
Time]],Edges[[#This Row],[Duración
(meses)]])</f>
        <v>43470</v>
      </c>
      <c r="T289" s="75">
        <v>36</v>
      </c>
      <c r="U289" s="76" t="s">
        <v>601</v>
      </c>
      <c r="V289" s="145"/>
      <c r="W289" s="145"/>
    </row>
    <row r="290" spans="1:23" x14ac:dyDescent="0.3">
      <c r="A290" s="67" t="s">
        <v>310</v>
      </c>
      <c r="B290" s="67" t="s">
        <v>222</v>
      </c>
      <c r="C290" s="68"/>
      <c r="D290" s="69"/>
      <c r="E290" s="68"/>
      <c r="F290" s="70"/>
      <c r="G290" s="68" t="s">
        <v>184</v>
      </c>
      <c r="H290" s="49"/>
      <c r="I290" s="50"/>
      <c r="J290" s="50"/>
      <c r="K290" s="51"/>
      <c r="L290" s="52">
        <v>290</v>
      </c>
      <c r="M29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0" s="53"/>
      <c r="O290" s="75" t="s">
        <v>600</v>
      </c>
      <c r="P290" s="75" t="s">
        <v>678</v>
      </c>
      <c r="Q290" s="75">
        <v>2</v>
      </c>
      <c r="R290" s="86">
        <v>42374</v>
      </c>
      <c r="S290" s="86">
        <f>EDATE(Edges[[#This Row],[Start
Time]],Edges[[#This Row],[Duración
(meses)]])</f>
        <v>43470</v>
      </c>
      <c r="T290" s="75">
        <v>36</v>
      </c>
      <c r="U290" s="76" t="s">
        <v>601</v>
      </c>
      <c r="V290" s="145"/>
      <c r="W290" s="145"/>
    </row>
    <row r="291" spans="1:23" x14ac:dyDescent="0.3">
      <c r="A291" s="67" t="s">
        <v>310</v>
      </c>
      <c r="B291" s="67" t="s">
        <v>305</v>
      </c>
      <c r="C291" s="68"/>
      <c r="D291" s="69"/>
      <c r="E291" s="68"/>
      <c r="F291" s="70"/>
      <c r="G291" s="68" t="s">
        <v>184</v>
      </c>
      <c r="H291" s="49"/>
      <c r="I291" s="50"/>
      <c r="J291" s="50"/>
      <c r="K291" s="51"/>
      <c r="L291" s="52">
        <v>291</v>
      </c>
      <c r="M29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1" s="53"/>
      <c r="O291" s="75" t="s">
        <v>600</v>
      </c>
      <c r="P291" s="75" t="s">
        <v>678</v>
      </c>
      <c r="Q291" s="75">
        <v>2</v>
      </c>
      <c r="R291" s="86">
        <v>42374</v>
      </c>
      <c r="S291" s="86">
        <f>EDATE(Edges[[#This Row],[Start
Time]],Edges[[#This Row],[Duración
(meses)]])</f>
        <v>43470</v>
      </c>
      <c r="T291" s="75">
        <v>36</v>
      </c>
      <c r="U291" s="76" t="s">
        <v>601</v>
      </c>
      <c r="V291" s="145"/>
      <c r="W291" s="145"/>
    </row>
    <row r="292" spans="1:23" x14ac:dyDescent="0.3">
      <c r="A292" s="67" t="s">
        <v>310</v>
      </c>
      <c r="B292" s="67" t="s">
        <v>587</v>
      </c>
      <c r="C292" s="68"/>
      <c r="D292" s="69"/>
      <c r="E292" s="68"/>
      <c r="F292" s="70"/>
      <c r="G292" s="68" t="s">
        <v>184</v>
      </c>
      <c r="H292" s="49"/>
      <c r="I292" s="50"/>
      <c r="J292" s="50"/>
      <c r="K292" s="51"/>
      <c r="L292" s="52">
        <v>292</v>
      </c>
      <c r="M29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2" s="53"/>
      <c r="O292" s="75" t="s">
        <v>600</v>
      </c>
      <c r="P292" s="75" t="s">
        <v>678</v>
      </c>
      <c r="Q292" s="75">
        <v>2</v>
      </c>
      <c r="R292" s="86">
        <v>42374</v>
      </c>
      <c r="S292" s="86">
        <f>EDATE(Edges[[#This Row],[Start
Time]],Edges[[#This Row],[Duración
(meses)]])</f>
        <v>43470</v>
      </c>
      <c r="T292" s="75">
        <v>36</v>
      </c>
      <c r="U292" s="76" t="s">
        <v>601</v>
      </c>
      <c r="V292" s="145"/>
      <c r="W292" s="145"/>
    </row>
    <row r="293" spans="1:23" x14ac:dyDescent="0.3">
      <c r="A293" s="67" t="s">
        <v>185</v>
      </c>
      <c r="B293" s="67" t="s">
        <v>253</v>
      </c>
      <c r="C293" s="68"/>
      <c r="D293" s="69"/>
      <c r="E293" s="68"/>
      <c r="F293" s="70"/>
      <c r="G293" s="68" t="s">
        <v>184</v>
      </c>
      <c r="H293" s="49"/>
      <c r="I293" s="50"/>
      <c r="J293" s="50"/>
      <c r="K293" s="51"/>
      <c r="L293" s="52">
        <v>293</v>
      </c>
      <c r="M29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3" s="53"/>
      <c r="O293" s="75" t="s">
        <v>588</v>
      </c>
      <c r="P293" s="75" t="s">
        <v>588</v>
      </c>
      <c r="Q293" s="75">
        <v>2</v>
      </c>
      <c r="R293" s="86">
        <v>42683</v>
      </c>
      <c r="S293" s="86">
        <f>EDATE(Edges[[#This Row],[Start
Time]],Edges[[#This Row],[Duración
(meses)]])</f>
        <v>43778</v>
      </c>
      <c r="T293" s="75">
        <v>36</v>
      </c>
      <c r="U293" s="76" t="s">
        <v>602</v>
      </c>
      <c r="V293" s="145"/>
      <c r="W293" s="145"/>
    </row>
    <row r="294" spans="1:23" x14ac:dyDescent="0.3">
      <c r="A294" s="67" t="s">
        <v>253</v>
      </c>
      <c r="B294" s="67" t="s">
        <v>588</v>
      </c>
      <c r="C294" s="68"/>
      <c r="D294" s="69"/>
      <c r="E294" s="68"/>
      <c r="F294" s="70"/>
      <c r="G294" s="68" t="s">
        <v>184</v>
      </c>
      <c r="H294" s="49"/>
      <c r="I294" s="50"/>
      <c r="J294" s="50"/>
      <c r="K294" s="51"/>
      <c r="L294" s="52">
        <v>294</v>
      </c>
      <c r="M29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4" s="53"/>
      <c r="O294" s="75" t="s">
        <v>588</v>
      </c>
      <c r="P294" s="75" t="s">
        <v>588</v>
      </c>
      <c r="Q294" s="75">
        <v>2</v>
      </c>
      <c r="R294" s="86">
        <v>42683</v>
      </c>
      <c r="S294" s="86">
        <f>EDATE(Edges[[#This Row],[Start
Time]],Edges[[#This Row],[Duración
(meses)]])</f>
        <v>43778</v>
      </c>
      <c r="T294" s="75">
        <v>36</v>
      </c>
      <c r="U294" s="76" t="s">
        <v>602</v>
      </c>
      <c r="V294" s="145"/>
      <c r="W294" s="145"/>
    </row>
    <row r="295" spans="1:23" x14ac:dyDescent="0.3">
      <c r="A295" s="67" t="s">
        <v>588</v>
      </c>
      <c r="B295" s="67" t="s">
        <v>589</v>
      </c>
      <c r="C295" s="68"/>
      <c r="D295" s="69"/>
      <c r="E295" s="68"/>
      <c r="F295" s="70"/>
      <c r="G295" s="68" t="s">
        <v>184</v>
      </c>
      <c r="H295" s="49"/>
      <c r="I295" s="50"/>
      <c r="J295" s="50"/>
      <c r="K295" s="51"/>
      <c r="L295" s="52">
        <v>295</v>
      </c>
      <c r="M29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5" s="53"/>
      <c r="O295" s="75" t="s">
        <v>588</v>
      </c>
      <c r="P295" s="75" t="s">
        <v>679</v>
      </c>
      <c r="Q295" s="75">
        <v>2</v>
      </c>
      <c r="R295" s="86">
        <v>42683</v>
      </c>
      <c r="S295" s="86">
        <f>EDATE(Edges[[#This Row],[Start
Time]],Edges[[#This Row],[Duración
(meses)]])</f>
        <v>43778</v>
      </c>
      <c r="T295" s="75">
        <v>36</v>
      </c>
      <c r="U295" s="76" t="s">
        <v>602</v>
      </c>
      <c r="V295" s="145"/>
      <c r="W295" s="145"/>
    </row>
    <row r="296" spans="1:23" x14ac:dyDescent="0.3">
      <c r="A296" s="67" t="s">
        <v>588</v>
      </c>
      <c r="B296" s="67" t="s">
        <v>590</v>
      </c>
      <c r="C296" s="68"/>
      <c r="D296" s="69"/>
      <c r="E296" s="68"/>
      <c r="F296" s="70"/>
      <c r="G296" s="68" t="s">
        <v>184</v>
      </c>
      <c r="H296" s="49"/>
      <c r="I296" s="50"/>
      <c r="J296" s="50"/>
      <c r="K296" s="51"/>
      <c r="L296" s="52">
        <v>296</v>
      </c>
      <c r="M29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6" s="53"/>
      <c r="O296" s="75" t="s">
        <v>588</v>
      </c>
      <c r="P296" s="75" t="s">
        <v>679</v>
      </c>
      <c r="Q296" s="75">
        <v>2</v>
      </c>
      <c r="R296" s="86">
        <v>42683</v>
      </c>
      <c r="S296" s="86">
        <f>EDATE(Edges[[#This Row],[Start
Time]],Edges[[#This Row],[Duración
(meses)]])</f>
        <v>43778</v>
      </c>
      <c r="T296" s="75">
        <v>36</v>
      </c>
      <c r="U296" s="76" t="s">
        <v>602</v>
      </c>
      <c r="V296" s="145"/>
      <c r="W296" s="145"/>
    </row>
    <row r="297" spans="1:23" x14ac:dyDescent="0.3">
      <c r="A297" s="67" t="s">
        <v>588</v>
      </c>
      <c r="B297" s="67" t="s">
        <v>591</v>
      </c>
      <c r="C297" s="68"/>
      <c r="D297" s="69"/>
      <c r="E297" s="68"/>
      <c r="F297" s="70"/>
      <c r="G297" s="68" t="s">
        <v>184</v>
      </c>
      <c r="H297" s="49"/>
      <c r="I297" s="50"/>
      <c r="J297" s="50"/>
      <c r="K297" s="51"/>
      <c r="L297" s="52">
        <v>297</v>
      </c>
      <c r="M29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7" s="53"/>
      <c r="O297" s="75" t="s">
        <v>588</v>
      </c>
      <c r="P297" s="75" t="s">
        <v>679</v>
      </c>
      <c r="Q297" s="75">
        <v>2</v>
      </c>
      <c r="R297" s="86">
        <v>42683</v>
      </c>
      <c r="S297" s="86">
        <f>EDATE(Edges[[#This Row],[Start
Time]],Edges[[#This Row],[Duración
(meses)]])</f>
        <v>43778</v>
      </c>
      <c r="T297" s="75">
        <v>36</v>
      </c>
      <c r="U297" s="76" t="s">
        <v>602</v>
      </c>
      <c r="V297" s="145"/>
      <c r="W297" s="145"/>
    </row>
    <row r="298" spans="1:23" x14ac:dyDescent="0.3">
      <c r="A298" s="67" t="s">
        <v>588</v>
      </c>
      <c r="B298" s="67" t="s">
        <v>592</v>
      </c>
      <c r="C298" s="68"/>
      <c r="D298" s="69"/>
      <c r="E298" s="68"/>
      <c r="F298" s="70"/>
      <c r="G298" s="68" t="s">
        <v>184</v>
      </c>
      <c r="H298" s="49"/>
      <c r="I298" s="50"/>
      <c r="J298" s="50"/>
      <c r="K298" s="51"/>
      <c r="L298" s="52">
        <v>298</v>
      </c>
      <c r="M29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8" s="53"/>
      <c r="O298" s="75" t="s">
        <v>588</v>
      </c>
      <c r="P298" s="75" t="s">
        <v>679</v>
      </c>
      <c r="Q298" s="75">
        <v>2</v>
      </c>
      <c r="R298" s="86">
        <v>42683</v>
      </c>
      <c r="S298" s="86">
        <f>EDATE(Edges[[#This Row],[Start
Time]],Edges[[#This Row],[Duración
(meses)]])</f>
        <v>43778</v>
      </c>
      <c r="T298" s="75">
        <v>36</v>
      </c>
      <c r="U298" s="76" t="s">
        <v>602</v>
      </c>
      <c r="V298" s="145"/>
      <c r="W298" s="145"/>
    </row>
    <row r="299" spans="1:23" x14ac:dyDescent="0.3">
      <c r="A299" s="67" t="s">
        <v>588</v>
      </c>
      <c r="B299" s="67" t="s">
        <v>207</v>
      </c>
      <c r="C299" s="68"/>
      <c r="D299" s="69"/>
      <c r="E299" s="68"/>
      <c r="F299" s="70"/>
      <c r="G299" s="68" t="s">
        <v>184</v>
      </c>
      <c r="H299" s="49"/>
      <c r="I299" s="50"/>
      <c r="J299" s="50"/>
      <c r="K299" s="51"/>
      <c r="L299" s="52">
        <v>299</v>
      </c>
      <c r="M29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299" s="53"/>
      <c r="O299" s="75" t="s">
        <v>588</v>
      </c>
      <c r="P299" s="75" t="s">
        <v>680</v>
      </c>
      <c r="Q299" s="75">
        <v>2</v>
      </c>
      <c r="R299" s="86">
        <v>42683</v>
      </c>
      <c r="S299" s="86">
        <f>EDATE(Edges[[#This Row],[Start
Time]],Edges[[#This Row],[Duración
(meses)]])</f>
        <v>43778</v>
      </c>
      <c r="T299" s="75">
        <v>36</v>
      </c>
      <c r="U299" s="76" t="s">
        <v>602</v>
      </c>
      <c r="V299" s="145"/>
      <c r="W299" s="145"/>
    </row>
    <row r="300" spans="1:23" x14ac:dyDescent="0.3">
      <c r="A300" s="67" t="s">
        <v>588</v>
      </c>
      <c r="B300" s="67" t="s">
        <v>245</v>
      </c>
      <c r="C300" s="68"/>
      <c r="D300" s="69"/>
      <c r="E300" s="68"/>
      <c r="F300" s="70"/>
      <c r="G300" s="68" t="s">
        <v>184</v>
      </c>
      <c r="H300" s="49"/>
      <c r="I300" s="50"/>
      <c r="J300" s="50"/>
      <c r="K300" s="51"/>
      <c r="L300" s="52">
        <v>300</v>
      </c>
      <c r="M30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0" s="53"/>
      <c r="O300" s="75" t="s">
        <v>588</v>
      </c>
      <c r="P300" s="75" t="s">
        <v>680</v>
      </c>
      <c r="Q300" s="75">
        <v>2</v>
      </c>
      <c r="R300" s="86">
        <v>42683</v>
      </c>
      <c r="S300" s="86">
        <f>EDATE(Edges[[#This Row],[Start
Time]],Edges[[#This Row],[Duración
(meses)]])</f>
        <v>43778</v>
      </c>
      <c r="T300" s="75">
        <v>36</v>
      </c>
      <c r="U300" s="76" t="s">
        <v>602</v>
      </c>
      <c r="V300" s="145"/>
      <c r="W300" s="145"/>
    </row>
    <row r="301" spans="1:23" x14ac:dyDescent="0.3">
      <c r="A301" s="67" t="s">
        <v>264</v>
      </c>
      <c r="B301" s="67" t="s">
        <v>561</v>
      </c>
      <c r="C301" s="68"/>
      <c r="D301" s="69"/>
      <c r="E301" s="68"/>
      <c r="F301" s="70"/>
      <c r="G301" s="68" t="s">
        <v>184</v>
      </c>
      <c r="H301" s="49"/>
      <c r="I301" s="50"/>
      <c r="J301" s="50"/>
      <c r="K301" s="51"/>
      <c r="L301" s="52">
        <v>301</v>
      </c>
      <c r="M30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1" s="53"/>
      <c r="O301" s="75" t="s">
        <v>598</v>
      </c>
      <c r="P301" s="75" t="s">
        <v>598</v>
      </c>
      <c r="Q301" s="75">
        <v>2</v>
      </c>
      <c r="R301" s="86">
        <v>42370</v>
      </c>
      <c r="S301" s="86">
        <v>42736</v>
      </c>
      <c r="T301" s="75">
        <v>12</v>
      </c>
      <c r="U301" s="76" t="s">
        <v>599</v>
      </c>
      <c r="V301" s="145"/>
      <c r="W301" s="145"/>
    </row>
    <row r="302" spans="1:23" x14ac:dyDescent="0.3">
      <c r="A302" s="67" t="s">
        <v>561</v>
      </c>
      <c r="B302" s="67" t="s">
        <v>593</v>
      </c>
      <c r="C302" s="68"/>
      <c r="D302" s="69"/>
      <c r="E302" s="68"/>
      <c r="F302" s="70"/>
      <c r="G302" s="68" t="s">
        <v>184</v>
      </c>
      <c r="H302" s="49"/>
      <c r="I302" s="50"/>
      <c r="J302" s="50"/>
      <c r="K302" s="51"/>
      <c r="L302" s="52">
        <v>302</v>
      </c>
      <c r="M30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2" s="53"/>
      <c r="O302" s="75" t="s">
        <v>598</v>
      </c>
      <c r="P302" s="75" t="s">
        <v>681</v>
      </c>
      <c r="Q302" s="75">
        <v>2</v>
      </c>
      <c r="R302" s="86">
        <v>42370</v>
      </c>
      <c r="S302" s="86">
        <v>42736</v>
      </c>
      <c r="T302" s="75">
        <v>12</v>
      </c>
      <c r="U302" s="76" t="s">
        <v>599</v>
      </c>
      <c r="V302" s="145"/>
      <c r="W302" s="145"/>
    </row>
    <row r="303" spans="1:23" x14ac:dyDescent="0.3">
      <c r="A303" s="67" t="s">
        <v>393</v>
      </c>
      <c r="B303" s="67" t="s">
        <v>309</v>
      </c>
      <c r="C303" s="68"/>
      <c r="D303" s="69"/>
      <c r="E303" s="68"/>
      <c r="F303" s="70"/>
      <c r="G303" s="68" t="s">
        <v>184</v>
      </c>
      <c r="H303" s="49"/>
      <c r="I303" s="50"/>
      <c r="J303" s="50"/>
      <c r="K303" s="51"/>
      <c r="L303" s="52">
        <v>303</v>
      </c>
      <c r="M30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3" s="53"/>
      <c r="O303" s="75" t="s">
        <v>629</v>
      </c>
      <c r="P303" s="75" t="s">
        <v>629</v>
      </c>
      <c r="Q303" s="75">
        <v>3</v>
      </c>
      <c r="R303" s="86">
        <v>42278</v>
      </c>
      <c r="S303" s="86">
        <f>EDATE(Edges[[#This Row],[Start
Time]],Edges[[#This Row],[Duración
(meses)]])</f>
        <v>42370</v>
      </c>
      <c r="T303" s="75">
        <v>3</v>
      </c>
      <c r="U303" s="76" t="s">
        <v>630</v>
      </c>
      <c r="V303" s="145"/>
      <c r="W303" s="145"/>
    </row>
    <row r="304" spans="1:23" x14ac:dyDescent="0.3">
      <c r="A304" s="67" t="s">
        <v>383</v>
      </c>
      <c r="B304" s="67" t="s">
        <v>566</v>
      </c>
      <c r="C304" s="68"/>
      <c r="D304" s="69"/>
      <c r="E304" s="68"/>
      <c r="F304" s="70"/>
      <c r="G304" s="68" t="s">
        <v>184</v>
      </c>
      <c r="H304" s="49"/>
      <c r="I304" s="50"/>
      <c r="J304" s="50"/>
      <c r="K304" s="51"/>
      <c r="L304" s="52">
        <v>304</v>
      </c>
      <c r="M30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4" s="53"/>
      <c r="O304" s="75" t="s">
        <v>627</v>
      </c>
      <c r="P304" s="75" t="s">
        <v>627</v>
      </c>
      <c r="Q304" s="75">
        <v>3</v>
      </c>
      <c r="R304" s="86">
        <v>42370</v>
      </c>
      <c r="S304" s="86">
        <f>EDATE(Edges[[#This Row],[Start
Time]],Edges[[#This Row],[Duración
(meses)]])</f>
        <v>42917</v>
      </c>
      <c r="T304" s="75">
        <v>18</v>
      </c>
      <c r="U304" s="76" t="s">
        <v>628</v>
      </c>
      <c r="V304" s="145"/>
      <c r="W304" s="145"/>
    </row>
    <row r="305" spans="1:23" x14ac:dyDescent="0.3">
      <c r="A305" s="67" t="s">
        <v>312</v>
      </c>
      <c r="B305" s="67" t="s">
        <v>316</v>
      </c>
      <c r="C305" s="68"/>
      <c r="D305" s="69"/>
      <c r="E305" s="68"/>
      <c r="F305" s="70"/>
      <c r="G305" s="68" t="s">
        <v>184</v>
      </c>
      <c r="H305" s="49"/>
      <c r="I305" s="50"/>
      <c r="J305" s="50"/>
      <c r="K305" s="51"/>
      <c r="L305" s="52">
        <v>305</v>
      </c>
      <c r="M30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5" s="53"/>
      <c r="O305" s="75" t="s">
        <v>457</v>
      </c>
      <c r="P305" s="75" t="s">
        <v>539</v>
      </c>
      <c r="Q305" s="75">
        <v>1</v>
      </c>
      <c r="R305" s="86">
        <v>42824</v>
      </c>
      <c r="S305" s="86">
        <f>EDATE(Edges[[#This Row],[Start
Time]],Edges[[#This Row],[Duración
(meses)]])</f>
        <v>43189</v>
      </c>
      <c r="T305" s="75">
        <v>12</v>
      </c>
      <c r="U305" s="76" t="s">
        <v>458</v>
      </c>
      <c r="V305" s="145"/>
      <c r="W305" s="145"/>
    </row>
    <row r="306" spans="1:23" x14ac:dyDescent="0.3">
      <c r="A306" s="67" t="s">
        <v>312</v>
      </c>
      <c r="B306" s="67" t="s">
        <v>317</v>
      </c>
      <c r="C306" s="68"/>
      <c r="D306" s="69"/>
      <c r="E306" s="68"/>
      <c r="F306" s="70"/>
      <c r="G306" s="68" t="s">
        <v>184</v>
      </c>
      <c r="H306" s="49"/>
      <c r="I306" s="50"/>
      <c r="J306" s="50"/>
      <c r="K306" s="51"/>
      <c r="L306" s="52">
        <v>306</v>
      </c>
      <c r="M30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6" s="53"/>
      <c r="O306" s="75" t="s">
        <v>457</v>
      </c>
      <c r="P306" s="75" t="s">
        <v>539</v>
      </c>
      <c r="Q306" s="75">
        <v>1</v>
      </c>
      <c r="R306" s="86">
        <v>42824</v>
      </c>
      <c r="S306" s="86">
        <f>EDATE(Edges[[#This Row],[Start
Time]],Edges[[#This Row],[Duración
(meses)]])</f>
        <v>43189</v>
      </c>
      <c r="T306" s="75">
        <v>12</v>
      </c>
      <c r="U306" s="76" t="s">
        <v>458</v>
      </c>
      <c r="V306" s="145"/>
      <c r="W306" s="145"/>
    </row>
    <row r="307" spans="1:23" x14ac:dyDescent="0.3">
      <c r="A307" s="67" t="s">
        <v>312</v>
      </c>
      <c r="B307" s="67" t="s">
        <v>318</v>
      </c>
      <c r="C307" s="68"/>
      <c r="D307" s="69"/>
      <c r="E307" s="68"/>
      <c r="F307" s="70"/>
      <c r="G307" s="68" t="s">
        <v>184</v>
      </c>
      <c r="H307" s="49"/>
      <c r="I307" s="50"/>
      <c r="J307" s="50"/>
      <c r="K307" s="51"/>
      <c r="L307" s="52">
        <v>307</v>
      </c>
      <c r="M30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7" s="53"/>
      <c r="O307" s="75" t="s">
        <v>457</v>
      </c>
      <c r="P307" s="75" t="s">
        <v>539</v>
      </c>
      <c r="Q307" s="75">
        <v>1</v>
      </c>
      <c r="R307" s="86">
        <v>42824</v>
      </c>
      <c r="S307" s="86">
        <f>EDATE(Edges[[#This Row],[Start
Time]],Edges[[#This Row],[Duración
(meses)]])</f>
        <v>43189</v>
      </c>
      <c r="T307" s="75">
        <v>12</v>
      </c>
      <c r="U307" s="76" t="s">
        <v>458</v>
      </c>
      <c r="V307" s="145"/>
      <c r="W307" s="145"/>
    </row>
    <row r="308" spans="1:23" x14ac:dyDescent="0.3">
      <c r="A308" s="67" t="s">
        <v>312</v>
      </c>
      <c r="B308" s="67" t="s">
        <v>305</v>
      </c>
      <c r="C308" s="68"/>
      <c r="D308" s="69"/>
      <c r="E308" s="68"/>
      <c r="F308" s="70"/>
      <c r="G308" s="68" t="s">
        <v>184</v>
      </c>
      <c r="H308" s="49"/>
      <c r="I308" s="50"/>
      <c r="J308" s="50"/>
      <c r="K308" s="51"/>
      <c r="L308" s="52">
        <v>308</v>
      </c>
      <c r="M30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8" s="53"/>
      <c r="O308" s="75" t="s">
        <v>457</v>
      </c>
      <c r="P308" s="75" t="s">
        <v>539</v>
      </c>
      <c r="Q308" s="75">
        <v>1</v>
      </c>
      <c r="R308" s="86">
        <v>42824</v>
      </c>
      <c r="S308" s="86">
        <f>EDATE(Edges[[#This Row],[Start
Time]],Edges[[#This Row],[Duración
(meses)]])</f>
        <v>43189</v>
      </c>
      <c r="T308" s="75">
        <v>12</v>
      </c>
      <c r="U308" s="76" t="s">
        <v>458</v>
      </c>
      <c r="V308" s="145"/>
      <c r="W308" s="145"/>
    </row>
    <row r="309" spans="1:23" x14ac:dyDescent="0.3">
      <c r="A309" s="67" t="s">
        <v>312</v>
      </c>
      <c r="B309" s="67" t="s">
        <v>319</v>
      </c>
      <c r="C309" s="68"/>
      <c r="D309" s="69"/>
      <c r="E309" s="68"/>
      <c r="F309" s="70"/>
      <c r="G309" s="68" t="s">
        <v>184</v>
      </c>
      <c r="H309" s="49"/>
      <c r="I309" s="50"/>
      <c r="J309" s="50"/>
      <c r="K309" s="51"/>
      <c r="L309" s="52">
        <v>309</v>
      </c>
      <c r="M30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09" s="53"/>
      <c r="O309" s="75" t="s">
        <v>457</v>
      </c>
      <c r="P309" s="75" t="s">
        <v>539</v>
      </c>
      <c r="Q309" s="75">
        <v>1</v>
      </c>
      <c r="R309" s="86">
        <v>42824</v>
      </c>
      <c r="S309" s="86">
        <f>EDATE(Edges[[#This Row],[Start
Time]],Edges[[#This Row],[Duración
(meses)]])</f>
        <v>43189</v>
      </c>
      <c r="T309" s="75">
        <v>12</v>
      </c>
      <c r="U309" s="76" t="s">
        <v>458</v>
      </c>
      <c r="V309" s="145"/>
      <c r="W309" s="145"/>
    </row>
    <row r="310" spans="1:23" x14ac:dyDescent="0.3">
      <c r="A310" s="67" t="s">
        <v>312</v>
      </c>
      <c r="B310" s="67" t="s">
        <v>320</v>
      </c>
      <c r="C310" s="68"/>
      <c r="D310" s="69"/>
      <c r="E310" s="68"/>
      <c r="F310" s="70"/>
      <c r="G310" s="68" t="s">
        <v>184</v>
      </c>
      <c r="H310" s="49"/>
      <c r="I310" s="50"/>
      <c r="J310" s="50"/>
      <c r="K310" s="51"/>
      <c r="L310" s="52">
        <v>310</v>
      </c>
      <c r="M31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0" s="53"/>
      <c r="O310" s="75" t="s">
        <v>457</v>
      </c>
      <c r="P310" s="75" t="s">
        <v>539</v>
      </c>
      <c r="Q310" s="75">
        <v>1</v>
      </c>
      <c r="R310" s="86">
        <v>42824</v>
      </c>
      <c r="S310" s="86">
        <f>EDATE(Edges[[#This Row],[Start
Time]],Edges[[#This Row],[Duración
(meses)]])</f>
        <v>43189</v>
      </c>
      <c r="T310" s="75">
        <v>12</v>
      </c>
      <c r="U310" s="76" t="s">
        <v>458</v>
      </c>
      <c r="V310" s="145"/>
      <c r="W310" s="145"/>
    </row>
    <row r="311" spans="1:23" x14ac:dyDescent="0.3">
      <c r="A311" s="67" t="s">
        <v>312</v>
      </c>
      <c r="B311" s="67" t="s">
        <v>321</v>
      </c>
      <c r="C311" s="68"/>
      <c r="D311" s="69"/>
      <c r="E311" s="68"/>
      <c r="F311" s="70"/>
      <c r="G311" s="68" t="s">
        <v>184</v>
      </c>
      <c r="H311" s="49"/>
      <c r="I311" s="50"/>
      <c r="J311" s="50"/>
      <c r="K311" s="51"/>
      <c r="L311" s="52">
        <v>311</v>
      </c>
      <c r="M31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1" s="53"/>
      <c r="O311" s="75" t="s">
        <v>457</v>
      </c>
      <c r="P311" s="75" t="s">
        <v>539</v>
      </c>
      <c r="Q311" s="75">
        <v>1</v>
      </c>
      <c r="R311" s="86">
        <v>42824</v>
      </c>
      <c r="S311" s="86">
        <f>EDATE(Edges[[#This Row],[Start
Time]],Edges[[#This Row],[Duración
(meses)]])</f>
        <v>43189</v>
      </c>
      <c r="T311" s="75">
        <v>12</v>
      </c>
      <c r="U311" s="76" t="s">
        <v>458</v>
      </c>
      <c r="V311" s="145"/>
      <c r="W311" s="145"/>
    </row>
    <row r="312" spans="1:23" x14ac:dyDescent="0.3">
      <c r="A312" s="67" t="s">
        <v>312</v>
      </c>
      <c r="B312" s="67" t="s">
        <v>311</v>
      </c>
      <c r="C312" s="79"/>
      <c r="D312" s="80"/>
      <c r="E312" s="79"/>
      <c r="F312" s="81"/>
      <c r="G312" s="79" t="s">
        <v>184</v>
      </c>
      <c r="H312" s="82"/>
      <c r="I312" s="83"/>
      <c r="J312" s="83"/>
      <c r="K312" s="84"/>
      <c r="L312" s="85">
        <v>312</v>
      </c>
      <c r="M312" s="8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2" s="53"/>
      <c r="O312" s="75" t="s">
        <v>457</v>
      </c>
      <c r="P312" s="75" t="s">
        <v>539</v>
      </c>
      <c r="Q312" s="75">
        <v>1</v>
      </c>
      <c r="R312" s="86">
        <v>42824</v>
      </c>
      <c r="S312" s="86">
        <f>EDATE(Edges[[#This Row],[Start
Time]],Edges[[#This Row],[Duración
(meses)]])</f>
        <v>43189</v>
      </c>
      <c r="T312" s="75">
        <v>12</v>
      </c>
      <c r="U312" s="76" t="s">
        <v>458</v>
      </c>
      <c r="V312" s="145"/>
      <c r="W312" s="145"/>
    </row>
    <row r="313" spans="1:23" x14ac:dyDescent="0.3">
      <c r="A313" s="67" t="s">
        <v>312</v>
      </c>
      <c r="B313" s="67" t="s">
        <v>210</v>
      </c>
      <c r="C313" s="68"/>
      <c r="D313" s="69"/>
      <c r="E313" s="68"/>
      <c r="F313" s="70"/>
      <c r="G313" s="68" t="s">
        <v>184</v>
      </c>
      <c r="H313" s="49"/>
      <c r="I313" s="50"/>
      <c r="J313" s="50"/>
      <c r="K313" s="51"/>
      <c r="L313" s="52">
        <v>313</v>
      </c>
      <c r="M31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3" s="53"/>
      <c r="O313" s="75" t="s">
        <v>457</v>
      </c>
      <c r="P313" s="75" t="s">
        <v>539</v>
      </c>
      <c r="Q313" s="75">
        <v>1</v>
      </c>
      <c r="R313" s="86">
        <v>42824</v>
      </c>
      <c r="S313" s="86">
        <f>EDATE(Edges[[#This Row],[Start
Time]],Edges[[#This Row],[Duración
(meses)]])</f>
        <v>43189</v>
      </c>
      <c r="T313" s="75">
        <v>12</v>
      </c>
      <c r="U313" s="76" t="s">
        <v>458</v>
      </c>
      <c r="V313" s="145"/>
      <c r="W313" s="145"/>
    </row>
    <row r="314" spans="1:23" x14ac:dyDescent="0.3">
      <c r="A314" s="67" t="s">
        <v>223</v>
      </c>
      <c r="B314" s="67" t="s">
        <v>311</v>
      </c>
      <c r="C314" s="68"/>
      <c r="D314" s="69"/>
      <c r="E314" s="68"/>
      <c r="F314" s="70"/>
      <c r="G314" s="68" t="s">
        <v>184</v>
      </c>
      <c r="H314" s="49"/>
      <c r="I314" s="50"/>
      <c r="J314" s="50"/>
      <c r="K314" s="51"/>
      <c r="L314" s="52">
        <v>314</v>
      </c>
      <c r="M31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4" s="53"/>
      <c r="O314" s="75" t="s">
        <v>457</v>
      </c>
      <c r="P314" s="75" t="s">
        <v>457</v>
      </c>
      <c r="Q314" s="75">
        <v>1</v>
      </c>
      <c r="R314" s="86">
        <v>42824</v>
      </c>
      <c r="S314" s="86">
        <f>EDATE(Edges[[#This Row],[Start
Time]],Edges[[#This Row],[Duración
(meses)]])</f>
        <v>43189</v>
      </c>
      <c r="T314" s="75">
        <v>12</v>
      </c>
      <c r="U314" s="76" t="s">
        <v>458</v>
      </c>
      <c r="V314" s="145"/>
      <c r="W314" s="145"/>
    </row>
    <row r="315" spans="1:23" x14ac:dyDescent="0.3">
      <c r="A315" s="67" t="s">
        <v>223</v>
      </c>
      <c r="B315" s="67" t="s">
        <v>312</v>
      </c>
      <c r="C315" s="68"/>
      <c r="D315" s="69"/>
      <c r="E315" s="68"/>
      <c r="F315" s="70"/>
      <c r="G315" s="68" t="s">
        <v>184</v>
      </c>
      <c r="H315" s="49"/>
      <c r="I315" s="50"/>
      <c r="J315" s="50"/>
      <c r="K315" s="51"/>
      <c r="L315" s="52">
        <v>315</v>
      </c>
      <c r="M31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5" s="53"/>
      <c r="O315" s="75" t="s">
        <v>457</v>
      </c>
      <c r="P315" s="75" t="s">
        <v>457</v>
      </c>
      <c r="Q315" s="75">
        <v>1</v>
      </c>
      <c r="R315" s="86">
        <v>42824</v>
      </c>
      <c r="S315" s="86">
        <f>EDATE(Edges[[#This Row],[Start
Time]],Edges[[#This Row],[Duración
(meses)]])</f>
        <v>43189</v>
      </c>
      <c r="T315" s="75">
        <v>12</v>
      </c>
      <c r="U315" s="76" t="s">
        <v>458</v>
      </c>
      <c r="V315" s="145"/>
      <c r="W315" s="145"/>
    </row>
    <row r="316" spans="1:23" x14ac:dyDescent="0.3">
      <c r="A316" s="67" t="s">
        <v>322</v>
      </c>
      <c r="B316" s="67" t="s">
        <v>297</v>
      </c>
      <c r="C316" s="68"/>
      <c r="D316" s="69"/>
      <c r="E316" s="68"/>
      <c r="F316" s="70"/>
      <c r="G316" s="68" t="s">
        <v>184</v>
      </c>
      <c r="H316" s="49"/>
      <c r="I316" s="50"/>
      <c r="J316" s="50"/>
      <c r="K316" s="51"/>
      <c r="L316" s="52">
        <v>316</v>
      </c>
      <c r="M31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6" s="53"/>
      <c r="O316" s="75" t="s">
        <v>463</v>
      </c>
      <c r="P316" s="75" t="s">
        <v>540</v>
      </c>
      <c r="Q316" s="75">
        <v>1</v>
      </c>
      <c r="R316" s="86">
        <v>42824</v>
      </c>
      <c r="S316" s="86">
        <f>EDATE(Edges[[#This Row],[Start
Time]],Edges[[#This Row],[Duración
(meses)]])</f>
        <v>43189</v>
      </c>
      <c r="T316" s="75">
        <v>12</v>
      </c>
      <c r="U316" s="76" t="s">
        <v>464</v>
      </c>
      <c r="V316" s="145"/>
      <c r="W316" s="145"/>
    </row>
    <row r="317" spans="1:23" x14ac:dyDescent="0.3">
      <c r="A317" s="67" t="s">
        <v>322</v>
      </c>
      <c r="B317" s="67" t="s">
        <v>314</v>
      </c>
      <c r="C317" s="68"/>
      <c r="D317" s="69"/>
      <c r="E317" s="68"/>
      <c r="F317" s="70"/>
      <c r="G317" s="68" t="s">
        <v>184</v>
      </c>
      <c r="H317" s="49"/>
      <c r="I317" s="50"/>
      <c r="J317" s="50"/>
      <c r="K317" s="51"/>
      <c r="L317" s="52">
        <v>317</v>
      </c>
      <c r="M31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7" s="53"/>
      <c r="O317" s="75" t="s">
        <v>463</v>
      </c>
      <c r="P317" s="75" t="s">
        <v>540</v>
      </c>
      <c r="Q317" s="75">
        <v>1</v>
      </c>
      <c r="R317" s="86">
        <v>42824</v>
      </c>
      <c r="S317" s="86">
        <f>EDATE(Edges[[#This Row],[Start
Time]],Edges[[#This Row],[Duración
(meses)]])</f>
        <v>43189</v>
      </c>
      <c r="T317" s="75">
        <v>12</v>
      </c>
      <c r="U317" s="76" t="s">
        <v>464</v>
      </c>
      <c r="V317" s="145"/>
      <c r="W317" s="145"/>
    </row>
    <row r="318" spans="1:23" x14ac:dyDescent="0.3">
      <c r="A318" s="67" t="s">
        <v>322</v>
      </c>
      <c r="B318" s="67" t="s">
        <v>315</v>
      </c>
      <c r="C318" s="68"/>
      <c r="D318" s="69"/>
      <c r="E318" s="68"/>
      <c r="F318" s="70"/>
      <c r="G318" s="68" t="s">
        <v>184</v>
      </c>
      <c r="H318" s="49"/>
      <c r="I318" s="50"/>
      <c r="J318" s="50"/>
      <c r="K318" s="51"/>
      <c r="L318" s="52">
        <v>318</v>
      </c>
      <c r="M31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8" s="53"/>
      <c r="O318" s="75" t="s">
        <v>463</v>
      </c>
      <c r="P318" s="75" t="s">
        <v>540</v>
      </c>
      <c r="Q318" s="75">
        <v>1</v>
      </c>
      <c r="R318" s="86">
        <v>42824</v>
      </c>
      <c r="S318" s="86">
        <f>EDATE(Edges[[#This Row],[Start
Time]],Edges[[#This Row],[Duración
(meses)]])</f>
        <v>43189</v>
      </c>
      <c r="T318" s="75">
        <v>12</v>
      </c>
      <c r="U318" s="76" t="s">
        <v>464</v>
      </c>
      <c r="V318" s="145"/>
      <c r="W318" s="145"/>
    </row>
    <row r="319" spans="1:23" x14ac:dyDescent="0.3">
      <c r="A319" s="67" t="s">
        <v>322</v>
      </c>
      <c r="B319" s="67" t="s">
        <v>303</v>
      </c>
      <c r="C319" s="68"/>
      <c r="D319" s="69"/>
      <c r="E319" s="68"/>
      <c r="F319" s="70"/>
      <c r="G319" s="68" t="s">
        <v>184</v>
      </c>
      <c r="H319" s="49"/>
      <c r="I319" s="50"/>
      <c r="J319" s="50"/>
      <c r="K319" s="51"/>
      <c r="L319" s="52">
        <v>319</v>
      </c>
      <c r="M31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19" s="53"/>
      <c r="O319" s="75" t="s">
        <v>463</v>
      </c>
      <c r="P319" s="75" t="s">
        <v>540</v>
      </c>
      <c r="Q319" s="75">
        <v>1</v>
      </c>
      <c r="R319" s="86">
        <v>42824</v>
      </c>
      <c r="S319" s="86">
        <f>EDATE(Edges[[#This Row],[Start
Time]],Edges[[#This Row],[Duración
(meses)]])</f>
        <v>43189</v>
      </c>
      <c r="T319" s="75">
        <v>12</v>
      </c>
      <c r="U319" s="76" t="s">
        <v>464</v>
      </c>
      <c r="V319" s="145"/>
      <c r="W319" s="145"/>
    </row>
    <row r="320" spans="1:23" x14ac:dyDescent="0.3">
      <c r="A320" s="67" t="s">
        <v>322</v>
      </c>
      <c r="B320" s="67" t="s">
        <v>316</v>
      </c>
      <c r="C320" s="68"/>
      <c r="D320" s="69"/>
      <c r="E320" s="68"/>
      <c r="F320" s="70"/>
      <c r="G320" s="68" t="s">
        <v>184</v>
      </c>
      <c r="H320" s="49"/>
      <c r="I320" s="50"/>
      <c r="J320" s="50"/>
      <c r="K320" s="51"/>
      <c r="L320" s="52">
        <v>320</v>
      </c>
      <c r="M32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0" s="53"/>
      <c r="O320" s="75" t="s">
        <v>463</v>
      </c>
      <c r="P320" s="75" t="s">
        <v>540</v>
      </c>
      <c r="Q320" s="75">
        <v>1</v>
      </c>
      <c r="R320" s="86">
        <v>42824</v>
      </c>
      <c r="S320" s="86">
        <f>EDATE(Edges[[#This Row],[Start
Time]],Edges[[#This Row],[Duración
(meses)]])</f>
        <v>43189</v>
      </c>
      <c r="T320" s="75">
        <v>12</v>
      </c>
      <c r="U320" s="76" t="s">
        <v>464</v>
      </c>
      <c r="V320" s="145"/>
      <c r="W320" s="145"/>
    </row>
    <row r="321" spans="1:23" x14ac:dyDescent="0.3">
      <c r="A321" s="67" t="s">
        <v>322</v>
      </c>
      <c r="B321" s="67" t="s">
        <v>245</v>
      </c>
      <c r="C321" s="68"/>
      <c r="D321" s="69"/>
      <c r="E321" s="68"/>
      <c r="F321" s="70"/>
      <c r="G321" s="68" t="s">
        <v>184</v>
      </c>
      <c r="H321" s="49"/>
      <c r="I321" s="50"/>
      <c r="J321" s="50"/>
      <c r="K321" s="51"/>
      <c r="L321" s="52">
        <v>321</v>
      </c>
      <c r="M32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1" s="53"/>
      <c r="O321" s="75" t="s">
        <v>463</v>
      </c>
      <c r="P321" s="75" t="s">
        <v>540</v>
      </c>
      <c r="Q321" s="75">
        <v>1</v>
      </c>
      <c r="R321" s="86">
        <v>42824</v>
      </c>
      <c r="S321" s="86">
        <f>EDATE(Edges[[#This Row],[Start
Time]],Edges[[#This Row],[Duración
(meses)]])</f>
        <v>43189</v>
      </c>
      <c r="T321" s="75">
        <v>12</v>
      </c>
      <c r="U321" s="76" t="s">
        <v>464</v>
      </c>
      <c r="V321" s="145"/>
      <c r="W321" s="145"/>
    </row>
    <row r="322" spans="1:23" x14ac:dyDescent="0.3">
      <c r="A322" s="67" t="s">
        <v>322</v>
      </c>
      <c r="B322" s="67" t="s">
        <v>323</v>
      </c>
      <c r="C322" s="68"/>
      <c r="D322" s="69"/>
      <c r="E322" s="68"/>
      <c r="F322" s="70"/>
      <c r="G322" s="68" t="s">
        <v>184</v>
      </c>
      <c r="H322" s="49"/>
      <c r="I322" s="50"/>
      <c r="J322" s="50"/>
      <c r="K322" s="51"/>
      <c r="L322" s="52">
        <v>322</v>
      </c>
      <c r="M32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2" s="53"/>
      <c r="O322" s="75" t="s">
        <v>463</v>
      </c>
      <c r="P322" s="75" t="s">
        <v>540</v>
      </c>
      <c r="Q322" s="75">
        <v>1</v>
      </c>
      <c r="R322" s="86">
        <v>42824</v>
      </c>
      <c r="S322" s="86">
        <f>EDATE(Edges[[#This Row],[Start
Time]],Edges[[#This Row],[Duración
(meses)]])</f>
        <v>43189</v>
      </c>
      <c r="T322" s="75">
        <v>12</v>
      </c>
      <c r="U322" s="76" t="s">
        <v>464</v>
      </c>
      <c r="V322" s="145"/>
      <c r="W322" s="145"/>
    </row>
    <row r="323" spans="1:23" x14ac:dyDescent="0.3">
      <c r="A323" s="67" t="s">
        <v>322</v>
      </c>
      <c r="B323" s="67" t="s">
        <v>250</v>
      </c>
      <c r="C323" s="68"/>
      <c r="D323" s="69"/>
      <c r="E323" s="68"/>
      <c r="F323" s="70"/>
      <c r="G323" s="68" t="s">
        <v>184</v>
      </c>
      <c r="H323" s="49"/>
      <c r="I323" s="50"/>
      <c r="J323" s="50"/>
      <c r="K323" s="51"/>
      <c r="L323" s="52">
        <v>323</v>
      </c>
      <c r="M32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3" s="53"/>
      <c r="O323" s="75" t="s">
        <v>463</v>
      </c>
      <c r="P323" s="75" t="s">
        <v>540</v>
      </c>
      <c r="Q323" s="75">
        <v>1</v>
      </c>
      <c r="R323" s="86">
        <v>42824</v>
      </c>
      <c r="S323" s="86">
        <f>EDATE(Edges[[#This Row],[Start
Time]],Edges[[#This Row],[Duración
(meses)]])</f>
        <v>43189</v>
      </c>
      <c r="T323" s="75">
        <v>12</v>
      </c>
      <c r="U323" s="76" t="s">
        <v>464</v>
      </c>
      <c r="V323" s="145"/>
      <c r="W323" s="145"/>
    </row>
    <row r="324" spans="1:23" x14ac:dyDescent="0.3">
      <c r="A324" s="67" t="s">
        <v>322</v>
      </c>
      <c r="B324" s="67" t="s">
        <v>305</v>
      </c>
      <c r="C324" s="68"/>
      <c r="D324" s="69"/>
      <c r="E324" s="68"/>
      <c r="F324" s="70"/>
      <c r="G324" s="68" t="s">
        <v>184</v>
      </c>
      <c r="H324" s="49"/>
      <c r="I324" s="50"/>
      <c r="J324" s="50"/>
      <c r="K324" s="51"/>
      <c r="L324" s="52">
        <v>324</v>
      </c>
      <c r="M32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4" s="53"/>
      <c r="O324" s="75" t="s">
        <v>463</v>
      </c>
      <c r="P324" s="75" t="s">
        <v>540</v>
      </c>
      <c r="Q324" s="75">
        <v>1</v>
      </c>
      <c r="R324" s="86">
        <v>42824</v>
      </c>
      <c r="S324" s="86">
        <f>EDATE(Edges[[#This Row],[Start
Time]],Edges[[#This Row],[Duración
(meses)]])</f>
        <v>43189</v>
      </c>
      <c r="T324" s="75">
        <v>12</v>
      </c>
      <c r="U324" s="76" t="s">
        <v>464</v>
      </c>
      <c r="V324" s="145"/>
      <c r="W324" s="145"/>
    </row>
    <row r="325" spans="1:23" x14ac:dyDescent="0.3">
      <c r="A325" s="67" t="s">
        <v>322</v>
      </c>
      <c r="B325" s="67" t="s">
        <v>324</v>
      </c>
      <c r="C325" s="68"/>
      <c r="D325" s="69"/>
      <c r="E325" s="68"/>
      <c r="F325" s="70"/>
      <c r="G325" s="68" t="s">
        <v>184</v>
      </c>
      <c r="H325" s="49"/>
      <c r="I325" s="50"/>
      <c r="J325" s="50"/>
      <c r="K325" s="51"/>
      <c r="L325" s="52">
        <v>325</v>
      </c>
      <c r="M32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5" s="53"/>
      <c r="O325" s="75" t="s">
        <v>463</v>
      </c>
      <c r="P325" s="75" t="s">
        <v>540</v>
      </c>
      <c r="Q325" s="75">
        <v>1</v>
      </c>
      <c r="R325" s="86">
        <v>42824</v>
      </c>
      <c r="S325" s="86">
        <f>EDATE(Edges[[#This Row],[Start
Time]],Edges[[#This Row],[Duración
(meses)]])</f>
        <v>43189</v>
      </c>
      <c r="T325" s="75">
        <v>12</v>
      </c>
      <c r="U325" s="76" t="s">
        <v>464</v>
      </c>
      <c r="V325" s="145"/>
      <c r="W325" s="145"/>
    </row>
    <row r="326" spans="1:23" x14ac:dyDescent="0.3">
      <c r="A326" s="67" t="s">
        <v>322</v>
      </c>
      <c r="B326" s="67" t="s">
        <v>320</v>
      </c>
      <c r="C326" s="68"/>
      <c r="D326" s="69"/>
      <c r="E326" s="68"/>
      <c r="F326" s="70"/>
      <c r="G326" s="68" t="s">
        <v>184</v>
      </c>
      <c r="H326" s="49"/>
      <c r="I326" s="50"/>
      <c r="J326" s="50"/>
      <c r="K326" s="51"/>
      <c r="L326" s="52">
        <v>326</v>
      </c>
      <c r="M32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6" s="53"/>
      <c r="O326" s="75" t="s">
        <v>463</v>
      </c>
      <c r="P326" s="75" t="s">
        <v>540</v>
      </c>
      <c r="Q326" s="75">
        <v>1</v>
      </c>
      <c r="R326" s="86">
        <v>42824</v>
      </c>
      <c r="S326" s="86">
        <f>EDATE(Edges[[#This Row],[Start
Time]],Edges[[#This Row],[Duración
(meses)]])</f>
        <v>43189</v>
      </c>
      <c r="T326" s="75">
        <v>12</v>
      </c>
      <c r="U326" s="76" t="s">
        <v>464</v>
      </c>
      <c r="V326" s="145"/>
      <c r="W326" s="145"/>
    </row>
    <row r="327" spans="1:23" x14ac:dyDescent="0.3">
      <c r="A327" s="67" t="s">
        <v>322</v>
      </c>
      <c r="B327" s="67" t="s">
        <v>321</v>
      </c>
      <c r="C327" s="68"/>
      <c r="D327" s="69"/>
      <c r="E327" s="68"/>
      <c r="F327" s="70"/>
      <c r="G327" s="68" t="s">
        <v>184</v>
      </c>
      <c r="H327" s="49"/>
      <c r="I327" s="50"/>
      <c r="J327" s="50"/>
      <c r="K327" s="51"/>
      <c r="L327" s="52">
        <v>327</v>
      </c>
      <c r="M32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7" s="53"/>
      <c r="O327" s="75" t="s">
        <v>463</v>
      </c>
      <c r="P327" s="75" t="s">
        <v>540</v>
      </c>
      <c r="Q327" s="75">
        <v>1</v>
      </c>
      <c r="R327" s="86">
        <v>42824</v>
      </c>
      <c r="S327" s="86">
        <f>EDATE(Edges[[#This Row],[Start
Time]],Edges[[#This Row],[Duración
(meses)]])</f>
        <v>43189</v>
      </c>
      <c r="T327" s="75">
        <v>12</v>
      </c>
      <c r="U327" s="76" t="s">
        <v>464</v>
      </c>
      <c r="V327" s="145"/>
      <c r="W327" s="145"/>
    </row>
    <row r="328" spans="1:23" x14ac:dyDescent="0.3">
      <c r="A328" s="67" t="s">
        <v>322</v>
      </c>
      <c r="B328" s="67" t="s">
        <v>213</v>
      </c>
      <c r="C328" s="68"/>
      <c r="D328" s="69"/>
      <c r="E328" s="68"/>
      <c r="F328" s="70"/>
      <c r="G328" s="68" t="s">
        <v>184</v>
      </c>
      <c r="H328" s="49"/>
      <c r="I328" s="50"/>
      <c r="J328" s="50"/>
      <c r="K328" s="51"/>
      <c r="L328" s="52">
        <v>328</v>
      </c>
      <c r="M32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8" s="53"/>
      <c r="O328" s="75" t="s">
        <v>463</v>
      </c>
      <c r="P328" s="75" t="s">
        <v>540</v>
      </c>
      <c r="Q328" s="75">
        <v>1</v>
      </c>
      <c r="R328" s="86">
        <v>42824</v>
      </c>
      <c r="S328" s="86">
        <f>EDATE(Edges[[#This Row],[Start
Time]],Edges[[#This Row],[Duración
(meses)]])</f>
        <v>43189</v>
      </c>
      <c r="T328" s="75">
        <v>12</v>
      </c>
      <c r="U328" s="76" t="s">
        <v>464</v>
      </c>
      <c r="V328" s="145"/>
      <c r="W328" s="145"/>
    </row>
    <row r="329" spans="1:23" x14ac:dyDescent="0.3">
      <c r="A329" s="67" t="s">
        <v>226</v>
      </c>
      <c r="B329" s="67" t="s">
        <v>246</v>
      </c>
      <c r="C329" s="68"/>
      <c r="D329" s="69"/>
      <c r="E329" s="68"/>
      <c r="F329" s="70"/>
      <c r="G329" s="68" t="s">
        <v>184</v>
      </c>
      <c r="H329" s="49"/>
      <c r="I329" s="50"/>
      <c r="J329" s="50"/>
      <c r="K329" s="51"/>
      <c r="L329" s="52">
        <v>329</v>
      </c>
      <c r="M32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29" s="53"/>
      <c r="O329" s="75" t="s">
        <v>463</v>
      </c>
      <c r="P329" s="75" t="s">
        <v>463</v>
      </c>
      <c r="Q329" s="75">
        <v>1</v>
      </c>
      <c r="R329" s="86">
        <v>42824</v>
      </c>
      <c r="S329" s="86">
        <f>EDATE(Edges[[#This Row],[Start
Time]],Edges[[#This Row],[Duración
(meses)]])</f>
        <v>43189</v>
      </c>
      <c r="T329" s="75">
        <v>12</v>
      </c>
      <c r="U329" s="76" t="s">
        <v>464</v>
      </c>
      <c r="V329" s="145"/>
      <c r="W329" s="145"/>
    </row>
    <row r="330" spans="1:23" x14ac:dyDescent="0.3">
      <c r="A330" s="67" t="s">
        <v>226</v>
      </c>
      <c r="B330" s="67" t="s">
        <v>322</v>
      </c>
      <c r="C330" s="68"/>
      <c r="D330" s="69"/>
      <c r="E330" s="68"/>
      <c r="F330" s="70"/>
      <c r="G330" s="68" t="s">
        <v>184</v>
      </c>
      <c r="H330" s="49"/>
      <c r="I330" s="50"/>
      <c r="J330" s="50"/>
      <c r="K330" s="51"/>
      <c r="L330" s="52">
        <v>330</v>
      </c>
      <c r="M33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0" s="53"/>
      <c r="O330" s="75" t="s">
        <v>463</v>
      </c>
      <c r="P330" s="75" t="s">
        <v>463</v>
      </c>
      <c r="Q330" s="75">
        <v>1</v>
      </c>
      <c r="R330" s="86">
        <v>42824</v>
      </c>
      <c r="S330" s="86">
        <f>EDATE(Edges[[#This Row],[Start
Time]],Edges[[#This Row],[Duración
(meses)]])</f>
        <v>43189</v>
      </c>
      <c r="T330" s="75">
        <v>12</v>
      </c>
      <c r="U330" s="76" t="s">
        <v>464</v>
      </c>
      <c r="V330" s="145"/>
      <c r="W330" s="145"/>
    </row>
    <row r="331" spans="1:23" x14ac:dyDescent="0.3">
      <c r="A331" s="67" t="s">
        <v>357</v>
      </c>
      <c r="B331" s="67" t="s">
        <v>363</v>
      </c>
      <c r="C331" s="68" t="s">
        <v>347</v>
      </c>
      <c r="D331" s="69"/>
      <c r="E331" s="68" t="s">
        <v>133</v>
      </c>
      <c r="F331" s="70"/>
      <c r="G331" s="68" t="s">
        <v>184</v>
      </c>
      <c r="H331" s="49"/>
      <c r="I331" s="50"/>
      <c r="J331" s="50"/>
      <c r="K331" s="51"/>
      <c r="L331" s="52">
        <v>331</v>
      </c>
      <c r="M33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1" s="53"/>
      <c r="O331" s="75"/>
      <c r="P331" s="75" t="s">
        <v>558</v>
      </c>
      <c r="Q331" s="75"/>
      <c r="R331" s="86">
        <v>42032</v>
      </c>
      <c r="S331" s="86"/>
      <c r="T331" s="75"/>
      <c r="U331" s="76"/>
      <c r="V331" s="145"/>
      <c r="W331" s="145"/>
    </row>
    <row r="332" spans="1:23" x14ac:dyDescent="0.3">
      <c r="A332" s="67" t="s">
        <v>357</v>
      </c>
      <c r="B332" s="67" t="s">
        <v>364</v>
      </c>
      <c r="C332" s="72" t="s">
        <v>347</v>
      </c>
      <c r="D332" s="73"/>
      <c r="E332" s="72" t="s">
        <v>133</v>
      </c>
      <c r="F332" s="74"/>
      <c r="G332" s="72" t="s">
        <v>184</v>
      </c>
      <c r="H332" s="62"/>
      <c r="I332" s="63"/>
      <c r="J332" s="63"/>
      <c r="K332" s="64"/>
      <c r="L332" s="65">
        <v>332</v>
      </c>
      <c r="M332" s="6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2" s="53"/>
      <c r="O332" s="75"/>
      <c r="P332" s="75" t="s">
        <v>558</v>
      </c>
      <c r="Q332" s="75"/>
      <c r="R332" s="86">
        <v>42032</v>
      </c>
      <c r="S332" s="86"/>
      <c r="T332" s="75"/>
      <c r="U332" s="76"/>
      <c r="V332" s="145"/>
      <c r="W332" s="145"/>
    </row>
    <row r="333" spans="1:23" x14ac:dyDescent="0.3">
      <c r="A333" s="67" t="s">
        <v>346</v>
      </c>
      <c r="B333" s="67" t="s">
        <v>222</v>
      </c>
      <c r="C333" s="68" t="s">
        <v>347</v>
      </c>
      <c r="D333" s="69"/>
      <c r="E333" s="68" t="s">
        <v>133</v>
      </c>
      <c r="F333" s="70"/>
      <c r="G333" s="68" t="s">
        <v>184</v>
      </c>
      <c r="H333" s="49"/>
      <c r="I333" s="50"/>
      <c r="J333" s="50"/>
      <c r="K333" s="51"/>
      <c r="L333" s="52">
        <v>333</v>
      </c>
      <c r="M33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3" s="53"/>
      <c r="O333" s="75"/>
      <c r="P333" s="75" t="s">
        <v>556</v>
      </c>
      <c r="Q333" s="75"/>
      <c r="R333" s="86">
        <v>42032</v>
      </c>
      <c r="S333" s="86"/>
      <c r="T333" s="75"/>
      <c r="U333" s="76"/>
      <c r="V333" s="145"/>
      <c r="W333" s="145"/>
    </row>
    <row r="334" spans="1:23" x14ac:dyDescent="0.3">
      <c r="A334" s="67" t="s">
        <v>346</v>
      </c>
      <c r="B334" s="67" t="s">
        <v>348</v>
      </c>
      <c r="C334" s="68" t="s">
        <v>347</v>
      </c>
      <c r="D334" s="69"/>
      <c r="E334" s="68" t="s">
        <v>133</v>
      </c>
      <c r="F334" s="70"/>
      <c r="G334" s="68" t="s">
        <v>184</v>
      </c>
      <c r="H334" s="49"/>
      <c r="I334" s="50"/>
      <c r="J334" s="50"/>
      <c r="K334" s="51"/>
      <c r="L334" s="52">
        <v>334</v>
      </c>
      <c r="M33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4" s="53"/>
      <c r="O334" s="75"/>
      <c r="P334" s="75" t="s">
        <v>556</v>
      </c>
      <c r="Q334" s="75"/>
      <c r="R334" s="86">
        <v>42032</v>
      </c>
      <c r="S334" s="86"/>
      <c r="T334" s="75"/>
      <c r="U334" s="76"/>
      <c r="V334" s="145"/>
      <c r="W334" s="145"/>
    </row>
    <row r="335" spans="1:23" x14ac:dyDescent="0.3">
      <c r="A335" s="67" t="s">
        <v>346</v>
      </c>
      <c r="B335" s="67" t="s">
        <v>316</v>
      </c>
      <c r="C335" s="68" t="s">
        <v>347</v>
      </c>
      <c r="D335" s="69"/>
      <c r="E335" s="68" t="s">
        <v>133</v>
      </c>
      <c r="F335" s="70"/>
      <c r="G335" s="68" t="s">
        <v>184</v>
      </c>
      <c r="H335" s="49"/>
      <c r="I335" s="50"/>
      <c r="J335" s="50"/>
      <c r="K335" s="51"/>
      <c r="L335" s="52">
        <v>335</v>
      </c>
      <c r="M33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5" s="53"/>
      <c r="O335" s="75"/>
      <c r="P335" s="75" t="s">
        <v>556</v>
      </c>
      <c r="Q335" s="75"/>
      <c r="R335" s="86">
        <v>42032</v>
      </c>
      <c r="S335" s="86"/>
      <c r="T335" s="75"/>
      <c r="U335" s="76"/>
      <c r="V335" s="145"/>
      <c r="W335" s="145"/>
    </row>
    <row r="336" spans="1:23" x14ac:dyDescent="0.3">
      <c r="A336" s="67" t="s">
        <v>346</v>
      </c>
      <c r="B336" s="67" t="s">
        <v>250</v>
      </c>
      <c r="C336" s="68" t="s">
        <v>347</v>
      </c>
      <c r="D336" s="69"/>
      <c r="E336" s="68" t="s">
        <v>133</v>
      </c>
      <c r="F336" s="70"/>
      <c r="G336" s="68" t="s">
        <v>184</v>
      </c>
      <c r="H336" s="49"/>
      <c r="I336" s="50"/>
      <c r="J336" s="50"/>
      <c r="K336" s="51"/>
      <c r="L336" s="52">
        <v>336</v>
      </c>
      <c r="M33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6" s="53"/>
      <c r="O336" s="75"/>
      <c r="P336" s="75" t="s">
        <v>556</v>
      </c>
      <c r="Q336" s="75"/>
      <c r="R336" s="86">
        <v>42032</v>
      </c>
      <c r="S336" s="86"/>
      <c r="T336" s="75"/>
      <c r="U336" s="76"/>
      <c r="V336" s="145"/>
      <c r="W336" s="145"/>
    </row>
    <row r="337" spans="1:23" x14ac:dyDescent="0.3">
      <c r="A337" s="67" t="s">
        <v>346</v>
      </c>
      <c r="B337" s="67" t="s">
        <v>350</v>
      </c>
      <c r="C337" s="68" t="s">
        <v>347</v>
      </c>
      <c r="D337" s="69"/>
      <c r="E337" s="68" t="s">
        <v>133</v>
      </c>
      <c r="F337" s="70"/>
      <c r="G337" s="68" t="s">
        <v>184</v>
      </c>
      <c r="H337" s="49"/>
      <c r="I337" s="50"/>
      <c r="J337" s="50"/>
      <c r="K337" s="51"/>
      <c r="L337" s="52">
        <v>337</v>
      </c>
      <c r="M33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7" s="53"/>
      <c r="O337" s="75"/>
      <c r="P337" s="75" t="s">
        <v>556</v>
      </c>
      <c r="Q337" s="75"/>
      <c r="R337" s="86">
        <v>42032</v>
      </c>
      <c r="S337" s="86"/>
      <c r="T337" s="75"/>
      <c r="U337" s="76"/>
      <c r="V337" s="145"/>
      <c r="W337" s="145"/>
    </row>
    <row r="338" spans="1:23" x14ac:dyDescent="0.3">
      <c r="A338" s="67" t="s">
        <v>346</v>
      </c>
      <c r="B338" s="67" t="s">
        <v>351</v>
      </c>
      <c r="C338" s="68" t="s">
        <v>347</v>
      </c>
      <c r="D338" s="69"/>
      <c r="E338" s="68" t="s">
        <v>133</v>
      </c>
      <c r="F338" s="70"/>
      <c r="G338" s="68" t="s">
        <v>184</v>
      </c>
      <c r="H338" s="49"/>
      <c r="I338" s="50"/>
      <c r="J338" s="50"/>
      <c r="K338" s="51"/>
      <c r="L338" s="52">
        <v>338</v>
      </c>
      <c r="M33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8" s="53"/>
      <c r="O338" s="75"/>
      <c r="P338" s="75" t="s">
        <v>556</v>
      </c>
      <c r="Q338" s="75"/>
      <c r="R338" s="86">
        <v>42032</v>
      </c>
      <c r="S338" s="86"/>
      <c r="T338" s="75"/>
      <c r="U338" s="76"/>
      <c r="V338" s="145"/>
      <c r="W338" s="145"/>
    </row>
    <row r="339" spans="1:23" x14ac:dyDescent="0.3">
      <c r="A339" s="67" t="s">
        <v>373</v>
      </c>
      <c r="B339" s="67" t="s">
        <v>357</v>
      </c>
      <c r="C339" s="68" t="s">
        <v>347</v>
      </c>
      <c r="D339" s="69"/>
      <c r="E339" s="68" t="s">
        <v>133</v>
      </c>
      <c r="F339" s="70"/>
      <c r="G339" s="68" t="s">
        <v>184</v>
      </c>
      <c r="H339" s="49"/>
      <c r="I339" s="50"/>
      <c r="J339" s="50"/>
      <c r="K339" s="51"/>
      <c r="L339" s="52">
        <v>339</v>
      </c>
      <c r="M33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39" s="53"/>
      <c r="O339" s="75"/>
      <c r="P339" s="75"/>
      <c r="Q339" s="75"/>
      <c r="R339" s="86">
        <v>42032</v>
      </c>
      <c r="S339" s="86"/>
      <c r="T339" s="75"/>
      <c r="U339" s="76"/>
      <c r="V339" s="145"/>
      <c r="W339" s="145"/>
    </row>
    <row r="340" spans="1:23" x14ac:dyDescent="0.3">
      <c r="A340" s="67" t="s">
        <v>373</v>
      </c>
      <c r="B340" s="67" t="s">
        <v>346</v>
      </c>
      <c r="C340" s="68" t="s">
        <v>347</v>
      </c>
      <c r="D340" s="69"/>
      <c r="E340" s="68" t="s">
        <v>133</v>
      </c>
      <c r="F340" s="70"/>
      <c r="G340" s="68" t="s">
        <v>184</v>
      </c>
      <c r="H340" s="49"/>
      <c r="I340" s="50"/>
      <c r="J340" s="50"/>
      <c r="K340" s="51"/>
      <c r="L340" s="52">
        <v>340</v>
      </c>
      <c r="M34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0" s="53"/>
      <c r="O340" s="75"/>
      <c r="P340" s="75"/>
      <c r="Q340" s="75"/>
      <c r="R340" s="86">
        <v>42032</v>
      </c>
      <c r="S340" s="86"/>
      <c r="T340" s="75"/>
      <c r="U340" s="76"/>
      <c r="V340" s="145"/>
      <c r="W340" s="145"/>
    </row>
    <row r="341" spans="1:23" x14ac:dyDescent="0.3">
      <c r="A341" s="67" t="s">
        <v>351</v>
      </c>
      <c r="B341" s="67" t="s">
        <v>373</v>
      </c>
      <c r="C341" s="68"/>
      <c r="D341" s="69"/>
      <c r="E341" s="68"/>
      <c r="F341" s="70"/>
      <c r="G341" s="68" t="s">
        <v>184</v>
      </c>
      <c r="H341" s="49"/>
      <c r="I341" s="50"/>
      <c r="J341" s="50"/>
      <c r="K341" s="51"/>
      <c r="L341" s="52">
        <v>341</v>
      </c>
      <c r="M34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1" s="53"/>
      <c r="O341" s="75"/>
      <c r="P341" s="75"/>
      <c r="Q341" s="75"/>
      <c r="R341" s="86">
        <v>42032</v>
      </c>
      <c r="S341" s="86"/>
      <c r="T341" s="75"/>
      <c r="U341" s="76"/>
      <c r="V341" s="145"/>
      <c r="W341" s="145"/>
    </row>
    <row r="342" spans="1:23" x14ac:dyDescent="0.3">
      <c r="A342" s="67" t="s">
        <v>351</v>
      </c>
      <c r="B342" s="67" t="s">
        <v>372</v>
      </c>
      <c r="C342" s="68"/>
      <c r="D342" s="69"/>
      <c r="E342" s="68"/>
      <c r="F342" s="70"/>
      <c r="G342" s="68" t="s">
        <v>184</v>
      </c>
      <c r="H342" s="49"/>
      <c r="I342" s="50"/>
      <c r="J342" s="50"/>
      <c r="K342" s="51"/>
      <c r="L342" s="52">
        <v>342</v>
      </c>
      <c r="M34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2" s="53"/>
      <c r="O342" s="75"/>
      <c r="P342" s="75"/>
      <c r="Q342" s="75"/>
      <c r="R342" s="86">
        <v>42032</v>
      </c>
      <c r="S342" s="86"/>
      <c r="T342" s="75"/>
      <c r="U342" s="76"/>
      <c r="V342" s="145"/>
      <c r="W342" s="145"/>
    </row>
    <row r="343" spans="1:23" x14ac:dyDescent="0.3">
      <c r="A343" s="67" t="s">
        <v>372</v>
      </c>
      <c r="B343" s="67" t="s">
        <v>373</v>
      </c>
      <c r="C343" s="68"/>
      <c r="D343" s="69"/>
      <c r="E343" s="68"/>
      <c r="F343" s="70"/>
      <c r="G343" s="68" t="s">
        <v>184</v>
      </c>
      <c r="H343" s="49"/>
      <c r="I343" s="50"/>
      <c r="J343" s="50"/>
      <c r="K343" s="51"/>
      <c r="L343" s="52">
        <v>343</v>
      </c>
      <c r="M34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3" s="53"/>
      <c r="O343" s="75"/>
      <c r="P343" s="75"/>
      <c r="Q343" s="75"/>
      <c r="R343" s="86">
        <v>42032</v>
      </c>
      <c r="S343" s="86"/>
      <c r="T343" s="75"/>
      <c r="U343" s="76"/>
      <c r="V343" s="145"/>
      <c r="W343" s="145"/>
    </row>
    <row r="344" spans="1:23" x14ac:dyDescent="0.3">
      <c r="A344" s="67" t="s">
        <v>387</v>
      </c>
      <c r="B344" s="67" t="s">
        <v>199</v>
      </c>
      <c r="C344" s="68"/>
      <c r="D344" s="69"/>
      <c r="E344" s="68"/>
      <c r="F344" s="70"/>
      <c r="G344" s="68" t="s">
        <v>184</v>
      </c>
      <c r="H344" s="49"/>
      <c r="I344" s="50"/>
      <c r="J344" s="50"/>
      <c r="K344" s="51"/>
      <c r="L344" s="52">
        <v>344</v>
      </c>
      <c r="M34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4" s="53"/>
      <c r="O344" s="75"/>
      <c r="P344" s="75"/>
      <c r="Q344" s="75"/>
      <c r="R344" s="86">
        <v>42005</v>
      </c>
      <c r="S344" s="86"/>
      <c r="T344" s="75"/>
      <c r="U344" s="76"/>
      <c r="V344" s="145"/>
      <c r="W344" s="145"/>
    </row>
    <row r="345" spans="1:23" x14ac:dyDescent="0.3">
      <c r="A345" s="67" t="s">
        <v>387</v>
      </c>
      <c r="B345" s="67" t="s">
        <v>393</v>
      </c>
      <c r="C345" s="68"/>
      <c r="D345" s="69"/>
      <c r="E345" s="68"/>
      <c r="F345" s="70"/>
      <c r="G345" s="68" t="s">
        <v>184</v>
      </c>
      <c r="H345" s="49"/>
      <c r="I345" s="50"/>
      <c r="J345" s="50"/>
      <c r="K345" s="51"/>
      <c r="L345" s="52">
        <v>345</v>
      </c>
      <c r="M34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5" s="53"/>
      <c r="O345" s="75"/>
      <c r="P345" s="75"/>
      <c r="Q345" s="75"/>
      <c r="R345" s="86">
        <v>42005</v>
      </c>
      <c r="S345" s="86"/>
      <c r="T345" s="75"/>
      <c r="U345" s="76"/>
      <c r="V345" s="145"/>
      <c r="W345" s="145"/>
    </row>
    <row r="346" spans="1:23" x14ac:dyDescent="0.3">
      <c r="A346" s="67" t="s">
        <v>374</v>
      </c>
      <c r="B346" s="67" t="s">
        <v>386</v>
      </c>
      <c r="C346" s="68"/>
      <c r="D346" s="69"/>
      <c r="E346" s="68"/>
      <c r="F346" s="70"/>
      <c r="G346" s="68" t="s">
        <v>184</v>
      </c>
      <c r="H346" s="49"/>
      <c r="I346" s="50"/>
      <c r="J346" s="50"/>
      <c r="K346" s="51"/>
      <c r="L346" s="52">
        <v>346</v>
      </c>
      <c r="M34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6" s="53"/>
      <c r="O346" s="75"/>
      <c r="P346" s="75"/>
      <c r="Q346" s="75"/>
      <c r="R346" s="86">
        <v>42005</v>
      </c>
      <c r="S346" s="86"/>
      <c r="T346" s="75"/>
      <c r="U346" s="76"/>
      <c r="V346" s="145"/>
      <c r="W346" s="145"/>
    </row>
    <row r="347" spans="1:23" x14ac:dyDescent="0.3">
      <c r="A347" s="67" t="s">
        <v>374</v>
      </c>
      <c r="B347" s="67" t="s">
        <v>185</v>
      </c>
      <c r="C347" s="68"/>
      <c r="D347" s="69"/>
      <c r="E347" s="68"/>
      <c r="F347" s="70"/>
      <c r="G347" s="68" t="s">
        <v>184</v>
      </c>
      <c r="H347" s="49"/>
      <c r="I347" s="50"/>
      <c r="J347" s="50"/>
      <c r="K347" s="51"/>
      <c r="L347" s="52">
        <v>347</v>
      </c>
      <c r="M34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7" s="53"/>
      <c r="O347" s="75"/>
      <c r="P347" s="75"/>
      <c r="Q347" s="75"/>
      <c r="R347" s="86">
        <v>42005</v>
      </c>
      <c r="S347" s="86"/>
      <c r="T347" s="75"/>
      <c r="U347" s="76"/>
      <c r="V347" s="145"/>
      <c r="W347" s="145"/>
    </row>
    <row r="348" spans="1:23" x14ac:dyDescent="0.3">
      <c r="A348" s="67" t="s">
        <v>302</v>
      </c>
      <c r="B348" s="67" t="s">
        <v>297</v>
      </c>
      <c r="C348" s="68"/>
      <c r="D348" s="69"/>
      <c r="E348" s="68"/>
      <c r="F348" s="70"/>
      <c r="G348" s="68" t="s">
        <v>184</v>
      </c>
      <c r="H348" s="49"/>
      <c r="I348" s="50"/>
      <c r="J348" s="50"/>
      <c r="K348" s="51"/>
      <c r="L348" s="52">
        <v>348</v>
      </c>
      <c r="M34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8" s="53"/>
      <c r="O348" s="75" t="s">
        <v>459</v>
      </c>
      <c r="P348" s="75" t="s">
        <v>538</v>
      </c>
      <c r="Q348" s="75">
        <v>1</v>
      </c>
      <c r="R348" s="86">
        <v>42824</v>
      </c>
      <c r="S348" s="86">
        <f>EDATE(Edges[[#This Row],[Start
Time]],Edges[[#This Row],[Duración
(meses)]])</f>
        <v>43189</v>
      </c>
      <c r="T348" s="75">
        <v>12</v>
      </c>
      <c r="U348" s="76" t="s">
        <v>460</v>
      </c>
      <c r="V348" s="145"/>
      <c r="W348" s="145"/>
    </row>
    <row r="349" spans="1:23" x14ac:dyDescent="0.3">
      <c r="A349" s="67" t="s">
        <v>302</v>
      </c>
      <c r="B349" s="67" t="s">
        <v>303</v>
      </c>
      <c r="C349" s="68"/>
      <c r="D349" s="69"/>
      <c r="E349" s="68"/>
      <c r="F349" s="70"/>
      <c r="G349" s="68" t="s">
        <v>184</v>
      </c>
      <c r="H349" s="49"/>
      <c r="I349" s="50"/>
      <c r="J349" s="50"/>
      <c r="K349" s="51"/>
      <c r="L349" s="52">
        <v>349</v>
      </c>
      <c r="M34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49" s="53"/>
      <c r="O349" s="75" t="s">
        <v>459</v>
      </c>
      <c r="P349" s="75" t="s">
        <v>538</v>
      </c>
      <c r="Q349" s="75">
        <v>1</v>
      </c>
      <c r="R349" s="86">
        <v>42824</v>
      </c>
      <c r="S349" s="86">
        <f>EDATE(Edges[[#This Row],[Start
Time]],Edges[[#This Row],[Duración
(meses)]])</f>
        <v>43189</v>
      </c>
      <c r="T349" s="75">
        <v>12</v>
      </c>
      <c r="U349" s="76" t="s">
        <v>460</v>
      </c>
      <c r="V349" s="145"/>
      <c r="W349" s="145"/>
    </row>
    <row r="350" spans="1:23" x14ac:dyDescent="0.3">
      <c r="A350" s="67" t="s">
        <v>302</v>
      </c>
      <c r="B350" s="67" t="s">
        <v>291</v>
      </c>
      <c r="C350" s="68"/>
      <c r="D350" s="69"/>
      <c r="E350" s="68"/>
      <c r="F350" s="70"/>
      <c r="G350" s="68" t="s">
        <v>184</v>
      </c>
      <c r="H350" s="49"/>
      <c r="I350" s="50"/>
      <c r="J350" s="50"/>
      <c r="K350" s="51"/>
      <c r="L350" s="52">
        <v>350</v>
      </c>
      <c r="M35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0" s="53"/>
      <c r="O350" s="75" t="s">
        <v>459</v>
      </c>
      <c r="P350" s="75" t="s">
        <v>538</v>
      </c>
      <c r="Q350" s="75">
        <v>1</v>
      </c>
      <c r="R350" s="86">
        <v>42824</v>
      </c>
      <c r="S350" s="86">
        <f>EDATE(Edges[[#This Row],[Start
Time]],Edges[[#This Row],[Duración
(meses)]])</f>
        <v>43189</v>
      </c>
      <c r="T350" s="75">
        <v>12</v>
      </c>
      <c r="U350" s="76" t="s">
        <v>460</v>
      </c>
      <c r="V350" s="145"/>
      <c r="W350" s="145"/>
    </row>
    <row r="351" spans="1:23" x14ac:dyDescent="0.3">
      <c r="A351" s="67" t="s">
        <v>302</v>
      </c>
      <c r="B351" s="67" t="s">
        <v>245</v>
      </c>
      <c r="C351" s="68"/>
      <c r="D351" s="69"/>
      <c r="E351" s="68"/>
      <c r="F351" s="70"/>
      <c r="G351" s="68" t="s">
        <v>184</v>
      </c>
      <c r="H351" s="49"/>
      <c r="I351" s="50"/>
      <c r="J351" s="50"/>
      <c r="K351" s="51"/>
      <c r="L351" s="52">
        <v>351</v>
      </c>
      <c r="M35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1" s="53"/>
      <c r="O351" s="75" t="s">
        <v>459</v>
      </c>
      <c r="P351" s="75" t="s">
        <v>538</v>
      </c>
      <c r="Q351" s="75">
        <v>1</v>
      </c>
      <c r="R351" s="86">
        <v>42824</v>
      </c>
      <c r="S351" s="86">
        <f>EDATE(Edges[[#This Row],[Start
Time]],Edges[[#This Row],[Duración
(meses)]])</f>
        <v>43189</v>
      </c>
      <c r="T351" s="75">
        <v>12</v>
      </c>
      <c r="U351" s="76" t="s">
        <v>460</v>
      </c>
      <c r="V351" s="145"/>
      <c r="W351" s="145"/>
    </row>
    <row r="352" spans="1:23" x14ac:dyDescent="0.3">
      <c r="A352" s="67" t="s">
        <v>302</v>
      </c>
      <c r="B352" s="67" t="s">
        <v>304</v>
      </c>
      <c r="C352" s="68"/>
      <c r="D352" s="69"/>
      <c r="E352" s="68"/>
      <c r="F352" s="70"/>
      <c r="G352" s="68" t="s">
        <v>184</v>
      </c>
      <c r="H352" s="49"/>
      <c r="I352" s="50"/>
      <c r="J352" s="50"/>
      <c r="K352" s="51"/>
      <c r="L352" s="52">
        <v>352</v>
      </c>
      <c r="M35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2" s="53"/>
      <c r="O352" s="75" t="s">
        <v>459</v>
      </c>
      <c r="P352" s="75" t="s">
        <v>538</v>
      </c>
      <c r="Q352" s="75">
        <v>1</v>
      </c>
      <c r="R352" s="86">
        <v>42824</v>
      </c>
      <c r="S352" s="86">
        <f>EDATE(Edges[[#This Row],[Start
Time]],Edges[[#This Row],[Duración
(meses)]])</f>
        <v>43189</v>
      </c>
      <c r="T352" s="75">
        <v>12</v>
      </c>
      <c r="U352" s="76" t="s">
        <v>460</v>
      </c>
      <c r="V352" s="145"/>
      <c r="W352" s="145"/>
    </row>
    <row r="353" spans="1:23" x14ac:dyDescent="0.3">
      <c r="A353" s="67" t="s">
        <v>302</v>
      </c>
      <c r="B353" s="67" t="s">
        <v>305</v>
      </c>
      <c r="C353" s="68"/>
      <c r="D353" s="69"/>
      <c r="E353" s="68"/>
      <c r="F353" s="70"/>
      <c r="G353" s="68" t="s">
        <v>184</v>
      </c>
      <c r="H353" s="49"/>
      <c r="I353" s="50"/>
      <c r="J353" s="50"/>
      <c r="K353" s="51"/>
      <c r="L353" s="52">
        <v>353</v>
      </c>
      <c r="M35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3" s="53"/>
      <c r="O353" s="75" t="s">
        <v>459</v>
      </c>
      <c r="P353" s="75" t="s">
        <v>538</v>
      </c>
      <c r="Q353" s="75">
        <v>1</v>
      </c>
      <c r="R353" s="86">
        <v>42824</v>
      </c>
      <c r="S353" s="86">
        <f>EDATE(Edges[[#This Row],[Start
Time]],Edges[[#This Row],[Duración
(meses)]])</f>
        <v>43189</v>
      </c>
      <c r="T353" s="75">
        <v>12</v>
      </c>
      <c r="U353" s="76" t="s">
        <v>460</v>
      </c>
      <c r="V353" s="145"/>
      <c r="W353" s="145"/>
    </row>
    <row r="354" spans="1:23" x14ac:dyDescent="0.3">
      <c r="A354" s="67" t="s">
        <v>302</v>
      </c>
      <c r="B354" s="67" t="s">
        <v>306</v>
      </c>
      <c r="C354" s="68"/>
      <c r="D354" s="69"/>
      <c r="E354" s="68"/>
      <c r="F354" s="70"/>
      <c r="G354" s="68" t="s">
        <v>184</v>
      </c>
      <c r="H354" s="49"/>
      <c r="I354" s="50"/>
      <c r="J354" s="50"/>
      <c r="K354" s="51"/>
      <c r="L354" s="52">
        <v>354</v>
      </c>
      <c r="M35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4" s="53"/>
      <c r="O354" s="75" t="s">
        <v>459</v>
      </c>
      <c r="P354" s="75" t="s">
        <v>538</v>
      </c>
      <c r="Q354" s="75">
        <v>1</v>
      </c>
      <c r="R354" s="86">
        <v>42824</v>
      </c>
      <c r="S354" s="86">
        <f>EDATE(Edges[[#This Row],[Start
Time]],Edges[[#This Row],[Duración
(meses)]])</f>
        <v>43189</v>
      </c>
      <c r="T354" s="75">
        <v>12</v>
      </c>
      <c r="U354" s="76" t="s">
        <v>460</v>
      </c>
      <c r="V354" s="145"/>
      <c r="W354" s="145"/>
    </row>
    <row r="355" spans="1:23" x14ac:dyDescent="0.3">
      <c r="A355" s="67" t="s">
        <v>302</v>
      </c>
      <c r="B355" s="67" t="s">
        <v>307</v>
      </c>
      <c r="C355" s="68"/>
      <c r="D355" s="69"/>
      <c r="E355" s="68"/>
      <c r="F355" s="70"/>
      <c r="G355" s="68" t="s">
        <v>184</v>
      </c>
      <c r="H355" s="49"/>
      <c r="I355" s="50"/>
      <c r="J355" s="50"/>
      <c r="K355" s="51"/>
      <c r="L355" s="52">
        <v>355</v>
      </c>
      <c r="M35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5" s="53"/>
      <c r="O355" s="75" t="s">
        <v>459</v>
      </c>
      <c r="P355" s="75" t="s">
        <v>538</v>
      </c>
      <c r="Q355" s="75">
        <v>1</v>
      </c>
      <c r="R355" s="86">
        <v>42824</v>
      </c>
      <c r="S355" s="86">
        <f>EDATE(Edges[[#This Row],[Start
Time]],Edges[[#This Row],[Duración
(meses)]])</f>
        <v>43189</v>
      </c>
      <c r="T355" s="75">
        <v>12</v>
      </c>
      <c r="U355" s="76" t="s">
        <v>460</v>
      </c>
      <c r="V355" s="145"/>
      <c r="W355" s="145"/>
    </row>
    <row r="356" spans="1:23" x14ac:dyDescent="0.3">
      <c r="A356" s="67" t="s">
        <v>302</v>
      </c>
      <c r="B356" s="67" t="s">
        <v>308</v>
      </c>
      <c r="C356" s="68"/>
      <c r="D356" s="69"/>
      <c r="E356" s="68"/>
      <c r="F356" s="70"/>
      <c r="G356" s="68" t="s">
        <v>184</v>
      </c>
      <c r="H356" s="49"/>
      <c r="I356" s="50"/>
      <c r="J356" s="50"/>
      <c r="K356" s="51"/>
      <c r="L356" s="52">
        <v>356</v>
      </c>
      <c r="M35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6" s="53"/>
      <c r="O356" s="75" t="s">
        <v>459</v>
      </c>
      <c r="P356" s="75" t="s">
        <v>538</v>
      </c>
      <c r="Q356" s="75">
        <v>1</v>
      </c>
      <c r="R356" s="86">
        <v>42824</v>
      </c>
      <c r="S356" s="86">
        <f>EDATE(Edges[[#This Row],[Start
Time]],Edges[[#This Row],[Duración
(meses)]])</f>
        <v>43189</v>
      </c>
      <c r="T356" s="75">
        <v>12</v>
      </c>
      <c r="U356" s="76" t="s">
        <v>460</v>
      </c>
      <c r="V356" s="145"/>
      <c r="W356" s="145"/>
    </row>
    <row r="357" spans="1:23" x14ac:dyDescent="0.3">
      <c r="A357" s="67" t="s">
        <v>302</v>
      </c>
      <c r="B357" s="67" t="s">
        <v>309</v>
      </c>
      <c r="C357" s="68"/>
      <c r="D357" s="69"/>
      <c r="E357" s="68"/>
      <c r="F357" s="70"/>
      <c r="G357" s="68" t="s">
        <v>184</v>
      </c>
      <c r="H357" s="49"/>
      <c r="I357" s="50"/>
      <c r="J357" s="50"/>
      <c r="K357" s="51"/>
      <c r="L357" s="52">
        <v>357</v>
      </c>
      <c r="M35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7" s="53"/>
      <c r="O357" s="75" t="s">
        <v>459</v>
      </c>
      <c r="P357" s="75" t="s">
        <v>538</v>
      </c>
      <c r="Q357" s="75">
        <v>1</v>
      </c>
      <c r="R357" s="86">
        <v>42824</v>
      </c>
      <c r="S357" s="86">
        <f>EDATE(Edges[[#This Row],[Start
Time]],Edges[[#This Row],[Duración
(meses)]])</f>
        <v>43189</v>
      </c>
      <c r="T357" s="75">
        <v>12</v>
      </c>
      <c r="U357" s="76" t="s">
        <v>460</v>
      </c>
      <c r="V357" s="145"/>
      <c r="W357" s="145"/>
    </row>
    <row r="358" spans="1:23" x14ac:dyDescent="0.3">
      <c r="A358" s="67" t="s">
        <v>302</v>
      </c>
      <c r="B358" s="67" t="s">
        <v>310</v>
      </c>
      <c r="C358" s="68"/>
      <c r="D358" s="69"/>
      <c r="E358" s="68"/>
      <c r="F358" s="70"/>
      <c r="G358" s="68" t="s">
        <v>184</v>
      </c>
      <c r="H358" s="49"/>
      <c r="I358" s="50"/>
      <c r="J358" s="50"/>
      <c r="K358" s="51"/>
      <c r="L358" s="52">
        <v>358</v>
      </c>
      <c r="M35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8" s="53"/>
      <c r="O358" s="75" t="s">
        <v>459</v>
      </c>
      <c r="P358" s="75" t="s">
        <v>538</v>
      </c>
      <c r="Q358" s="75">
        <v>1</v>
      </c>
      <c r="R358" s="86">
        <v>42824</v>
      </c>
      <c r="S358" s="86">
        <f>EDATE(Edges[[#This Row],[Start
Time]],Edges[[#This Row],[Duración
(meses)]])</f>
        <v>43189</v>
      </c>
      <c r="T358" s="75">
        <v>12</v>
      </c>
      <c r="U358" s="76" t="s">
        <v>460</v>
      </c>
      <c r="V358" s="145"/>
      <c r="W358" s="145"/>
    </row>
    <row r="359" spans="1:23" x14ac:dyDescent="0.3">
      <c r="A359" s="67" t="s">
        <v>224</v>
      </c>
      <c r="B359" s="67" t="s">
        <v>301</v>
      </c>
      <c r="C359" s="68"/>
      <c r="D359" s="69"/>
      <c r="E359" s="68"/>
      <c r="F359" s="70"/>
      <c r="G359" s="68" t="s">
        <v>184</v>
      </c>
      <c r="H359" s="49"/>
      <c r="I359" s="50"/>
      <c r="J359" s="50"/>
      <c r="K359" s="51"/>
      <c r="L359" s="52">
        <v>359</v>
      </c>
      <c r="M35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59" s="53"/>
      <c r="O359" s="75" t="s">
        <v>459</v>
      </c>
      <c r="P359" s="75" t="s">
        <v>459</v>
      </c>
      <c r="Q359" s="75">
        <v>1</v>
      </c>
      <c r="R359" s="86">
        <v>42824</v>
      </c>
      <c r="S359" s="86">
        <f>EDATE(Edges[[#This Row],[Start
Time]],Edges[[#This Row],[Duración
(meses)]])</f>
        <v>43189</v>
      </c>
      <c r="T359" s="75">
        <v>12</v>
      </c>
      <c r="U359" s="76" t="s">
        <v>460</v>
      </c>
      <c r="V359" s="145"/>
      <c r="W359" s="145"/>
    </row>
    <row r="360" spans="1:23" x14ac:dyDescent="0.3">
      <c r="A360" s="67" t="s">
        <v>224</v>
      </c>
      <c r="B360" s="67" t="s">
        <v>302</v>
      </c>
      <c r="C360" s="68"/>
      <c r="D360" s="69"/>
      <c r="E360" s="68"/>
      <c r="F360" s="70"/>
      <c r="G360" s="68" t="s">
        <v>184</v>
      </c>
      <c r="H360" s="49"/>
      <c r="I360" s="50"/>
      <c r="J360" s="50"/>
      <c r="K360" s="51"/>
      <c r="L360" s="52">
        <v>360</v>
      </c>
      <c r="M36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0" s="53"/>
      <c r="O360" s="75" t="s">
        <v>459</v>
      </c>
      <c r="P360" s="75" t="s">
        <v>459</v>
      </c>
      <c r="Q360" s="75">
        <v>1</v>
      </c>
      <c r="R360" s="86">
        <v>42824</v>
      </c>
      <c r="S360" s="86">
        <f>EDATE(Edges[[#This Row],[Start
Time]],Edges[[#This Row],[Duración
(meses)]])</f>
        <v>43189</v>
      </c>
      <c r="T360" s="75">
        <v>12</v>
      </c>
      <c r="U360" s="76" t="s">
        <v>460</v>
      </c>
      <c r="V360" s="145"/>
      <c r="W360" s="145"/>
    </row>
    <row r="361" spans="1:23" x14ac:dyDescent="0.3">
      <c r="A361" s="67" t="s">
        <v>374</v>
      </c>
      <c r="B361" s="67" t="s">
        <v>384</v>
      </c>
      <c r="C361" s="68"/>
      <c r="D361" s="69"/>
      <c r="E361" s="68"/>
      <c r="F361" s="70"/>
      <c r="G361" s="68" t="s">
        <v>184</v>
      </c>
      <c r="H361" s="49"/>
      <c r="I361" s="50"/>
      <c r="J361" s="50"/>
      <c r="K361" s="51"/>
      <c r="L361" s="52">
        <v>361</v>
      </c>
      <c r="M36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1" s="53"/>
      <c r="O361" s="75"/>
      <c r="P361" s="75"/>
      <c r="Q361" s="75"/>
      <c r="R361" s="86">
        <v>42005</v>
      </c>
      <c r="S361" s="86"/>
      <c r="T361" s="75"/>
      <c r="U361" s="76"/>
      <c r="V361" s="145"/>
      <c r="W361" s="145"/>
    </row>
    <row r="362" spans="1:23" x14ac:dyDescent="0.3">
      <c r="A362" s="67" t="s">
        <v>374</v>
      </c>
      <c r="B362" s="67" t="s">
        <v>387</v>
      </c>
      <c r="C362" s="68"/>
      <c r="D362" s="69"/>
      <c r="E362" s="68"/>
      <c r="F362" s="70"/>
      <c r="G362" s="68" t="s">
        <v>184</v>
      </c>
      <c r="H362" s="49"/>
      <c r="I362" s="50"/>
      <c r="J362" s="50"/>
      <c r="K362" s="51"/>
      <c r="L362" s="52">
        <v>362</v>
      </c>
      <c r="M36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2" s="53"/>
      <c r="O362" s="75"/>
      <c r="P362" s="75"/>
      <c r="Q362" s="75"/>
      <c r="R362" s="86">
        <v>42005</v>
      </c>
      <c r="S362" s="86"/>
      <c r="T362" s="75"/>
      <c r="U362" s="76"/>
      <c r="V362" s="145"/>
      <c r="W362" s="145"/>
    </row>
    <row r="363" spans="1:23" x14ac:dyDescent="0.3">
      <c r="A363" s="67" t="s">
        <v>374</v>
      </c>
      <c r="B363" s="67" t="s">
        <v>388</v>
      </c>
      <c r="C363" s="68"/>
      <c r="D363" s="69"/>
      <c r="E363" s="68"/>
      <c r="F363" s="70"/>
      <c r="G363" s="68" t="s">
        <v>184</v>
      </c>
      <c r="H363" s="49"/>
      <c r="I363" s="50"/>
      <c r="J363" s="50"/>
      <c r="K363" s="51"/>
      <c r="L363" s="52">
        <v>363</v>
      </c>
      <c r="M36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3" s="53"/>
      <c r="O363" s="75"/>
      <c r="P363" s="75"/>
      <c r="Q363" s="75"/>
      <c r="R363" s="86">
        <v>42005</v>
      </c>
      <c r="S363" s="86"/>
      <c r="T363" s="75"/>
      <c r="U363" s="76"/>
      <c r="V363" s="145"/>
      <c r="W363" s="145"/>
    </row>
    <row r="364" spans="1:23" x14ac:dyDescent="0.3">
      <c r="A364" s="67" t="s">
        <v>384</v>
      </c>
      <c r="B364" s="67" t="s">
        <v>188</v>
      </c>
      <c r="C364" s="68"/>
      <c r="D364" s="69"/>
      <c r="E364" s="68"/>
      <c r="F364" s="70"/>
      <c r="G364" s="68" t="s">
        <v>184</v>
      </c>
      <c r="H364" s="49"/>
      <c r="I364" s="50"/>
      <c r="J364" s="50"/>
      <c r="K364" s="51"/>
      <c r="L364" s="52">
        <v>364</v>
      </c>
      <c r="M36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4" s="53"/>
      <c r="O364" s="75"/>
      <c r="P364" s="75"/>
      <c r="Q364" s="75"/>
      <c r="R364" s="86">
        <v>42005</v>
      </c>
      <c r="S364" s="86"/>
      <c r="T364" s="75"/>
      <c r="U364" s="76"/>
      <c r="V364" s="145"/>
      <c r="W364" s="145"/>
    </row>
    <row r="365" spans="1:23" x14ac:dyDescent="0.3">
      <c r="A365" s="67" t="s">
        <v>384</v>
      </c>
      <c r="B365" s="67" t="s">
        <v>196</v>
      </c>
      <c r="C365" s="68"/>
      <c r="D365" s="69"/>
      <c r="E365" s="68"/>
      <c r="F365" s="70"/>
      <c r="G365" s="68" t="s">
        <v>184</v>
      </c>
      <c r="H365" s="49"/>
      <c r="I365" s="50"/>
      <c r="J365" s="50"/>
      <c r="K365" s="51"/>
      <c r="L365" s="52">
        <v>365</v>
      </c>
      <c r="M36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5" s="53"/>
      <c r="O365" s="75"/>
      <c r="P365" s="75"/>
      <c r="Q365" s="75"/>
      <c r="R365" s="86">
        <v>42005</v>
      </c>
      <c r="S365" s="86"/>
      <c r="T365" s="75"/>
      <c r="U365" s="76"/>
      <c r="V365" s="145"/>
      <c r="W365" s="145"/>
    </row>
    <row r="366" spans="1:23" x14ac:dyDescent="0.3">
      <c r="A366" s="67" t="s">
        <v>384</v>
      </c>
      <c r="B366" s="67" t="s">
        <v>182</v>
      </c>
      <c r="C366" s="68"/>
      <c r="D366" s="69"/>
      <c r="E366" s="68"/>
      <c r="F366" s="70"/>
      <c r="G366" s="68" t="s">
        <v>184</v>
      </c>
      <c r="H366" s="49"/>
      <c r="I366" s="50"/>
      <c r="J366" s="50"/>
      <c r="K366" s="51"/>
      <c r="L366" s="52">
        <v>366</v>
      </c>
      <c r="M36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6" s="53"/>
      <c r="O366" s="75"/>
      <c r="P366" s="75"/>
      <c r="Q366" s="75"/>
      <c r="R366" s="86">
        <v>42005</v>
      </c>
      <c r="S366" s="86"/>
      <c r="T366" s="75"/>
      <c r="U366" s="76"/>
      <c r="V366" s="145"/>
      <c r="W366" s="145"/>
    </row>
    <row r="367" spans="1:23" x14ac:dyDescent="0.3">
      <c r="A367" s="67" t="s">
        <v>351</v>
      </c>
      <c r="B367" s="67" t="s">
        <v>381</v>
      </c>
      <c r="C367" s="68"/>
      <c r="D367" s="69"/>
      <c r="E367" s="68"/>
      <c r="F367" s="70"/>
      <c r="G367" s="68" t="s">
        <v>184</v>
      </c>
      <c r="H367" s="49"/>
      <c r="I367" s="50"/>
      <c r="J367" s="50"/>
      <c r="K367" s="51"/>
      <c r="L367" s="52">
        <v>367</v>
      </c>
      <c r="M36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7" s="53"/>
      <c r="O367" s="75"/>
      <c r="P367" s="75"/>
      <c r="Q367" s="75"/>
      <c r="R367" s="86">
        <v>42005</v>
      </c>
      <c r="S367" s="86"/>
      <c r="T367" s="75"/>
      <c r="U367" s="76"/>
      <c r="V367" s="145"/>
      <c r="W367" s="145"/>
    </row>
    <row r="368" spans="1:23" x14ac:dyDescent="0.3">
      <c r="A368" s="67" t="s">
        <v>351</v>
      </c>
      <c r="B368" s="67" t="s">
        <v>382</v>
      </c>
      <c r="C368" s="68"/>
      <c r="D368" s="69"/>
      <c r="E368" s="68"/>
      <c r="F368" s="70"/>
      <c r="G368" s="68" t="s">
        <v>184</v>
      </c>
      <c r="H368" s="49"/>
      <c r="I368" s="50"/>
      <c r="J368" s="50"/>
      <c r="K368" s="51"/>
      <c r="L368" s="52">
        <v>368</v>
      </c>
      <c r="M36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8" s="53"/>
      <c r="O368" s="75"/>
      <c r="P368" s="75"/>
      <c r="Q368" s="75"/>
      <c r="R368" s="86">
        <v>42005</v>
      </c>
      <c r="S368" s="86"/>
      <c r="T368" s="75"/>
      <c r="U368" s="76"/>
      <c r="V368" s="145"/>
      <c r="W368" s="145"/>
    </row>
    <row r="369" spans="1:23" x14ac:dyDescent="0.3">
      <c r="A369" s="67" t="s">
        <v>351</v>
      </c>
      <c r="B369" s="67" t="s">
        <v>383</v>
      </c>
      <c r="C369" s="68"/>
      <c r="D369" s="69"/>
      <c r="E369" s="68"/>
      <c r="F369" s="70"/>
      <c r="G369" s="68" t="s">
        <v>184</v>
      </c>
      <c r="H369" s="49"/>
      <c r="I369" s="50"/>
      <c r="J369" s="50"/>
      <c r="K369" s="51"/>
      <c r="L369" s="52">
        <v>369</v>
      </c>
      <c r="M36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69" s="53"/>
      <c r="O369" s="75"/>
      <c r="P369" s="75"/>
      <c r="Q369" s="75"/>
      <c r="R369" s="86">
        <v>42005</v>
      </c>
      <c r="S369" s="86"/>
      <c r="T369" s="75"/>
      <c r="U369" s="76"/>
      <c r="V369" s="145"/>
      <c r="W369" s="145"/>
    </row>
    <row r="370" spans="1:23" x14ac:dyDescent="0.3">
      <c r="A370" s="67" t="s">
        <v>375</v>
      </c>
      <c r="B370" s="67" t="s">
        <v>209</v>
      </c>
      <c r="C370" s="68"/>
      <c r="D370" s="69"/>
      <c r="E370" s="68"/>
      <c r="F370" s="70"/>
      <c r="G370" s="68" t="s">
        <v>184</v>
      </c>
      <c r="H370" s="49"/>
      <c r="I370" s="50"/>
      <c r="J370" s="50"/>
      <c r="K370" s="51"/>
      <c r="L370" s="52">
        <v>370</v>
      </c>
      <c r="M37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0" s="53"/>
      <c r="O370" s="75"/>
      <c r="P370" s="75"/>
      <c r="Q370" s="75"/>
      <c r="R370" s="86">
        <v>42005</v>
      </c>
      <c r="S370" s="86"/>
      <c r="T370" s="75"/>
      <c r="U370" s="76"/>
      <c r="V370" s="145"/>
      <c r="W370" s="145"/>
    </row>
    <row r="371" spans="1:23" x14ac:dyDescent="0.3">
      <c r="A371" s="67" t="s">
        <v>348</v>
      </c>
      <c r="B371" s="67" t="s">
        <v>351</v>
      </c>
      <c r="C371" s="68"/>
      <c r="D371" s="69"/>
      <c r="E371" s="68"/>
      <c r="F371" s="70"/>
      <c r="G371" s="68" t="s">
        <v>184</v>
      </c>
      <c r="H371" s="49"/>
      <c r="I371" s="50"/>
      <c r="J371" s="50"/>
      <c r="K371" s="51"/>
      <c r="L371" s="52">
        <v>371</v>
      </c>
      <c r="M37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1" s="53"/>
      <c r="O371" s="75"/>
      <c r="P371" s="75"/>
      <c r="Q371" s="75"/>
      <c r="R371" s="86">
        <v>42005</v>
      </c>
      <c r="S371" s="86"/>
      <c r="T371" s="75"/>
      <c r="U371" s="76"/>
      <c r="V371" s="145"/>
      <c r="W371" s="145"/>
    </row>
    <row r="372" spans="1:23" x14ac:dyDescent="0.3">
      <c r="A372" s="67" t="s">
        <v>348</v>
      </c>
      <c r="B372" s="67" t="s">
        <v>375</v>
      </c>
      <c r="C372" s="68"/>
      <c r="D372" s="69"/>
      <c r="E372" s="68"/>
      <c r="F372" s="70"/>
      <c r="G372" s="68" t="s">
        <v>184</v>
      </c>
      <c r="H372" s="49"/>
      <c r="I372" s="50"/>
      <c r="J372" s="50"/>
      <c r="K372" s="51"/>
      <c r="L372" s="52">
        <v>372</v>
      </c>
      <c r="M37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2" s="53"/>
      <c r="O372" s="75"/>
      <c r="P372" s="75"/>
      <c r="Q372" s="75"/>
      <c r="R372" s="86">
        <v>42005</v>
      </c>
      <c r="S372" s="86"/>
      <c r="T372" s="75"/>
      <c r="U372" s="76"/>
      <c r="V372" s="145"/>
      <c r="W372" s="145"/>
    </row>
    <row r="373" spans="1:23" x14ac:dyDescent="0.3">
      <c r="A373" s="67" t="s">
        <v>316</v>
      </c>
      <c r="B373" s="67" t="s">
        <v>376</v>
      </c>
      <c r="C373" s="68"/>
      <c r="D373" s="69"/>
      <c r="E373" s="68"/>
      <c r="F373" s="70"/>
      <c r="G373" s="68" t="s">
        <v>184</v>
      </c>
      <c r="H373" s="49"/>
      <c r="I373" s="50"/>
      <c r="J373" s="50"/>
      <c r="K373" s="51"/>
      <c r="L373" s="52">
        <v>373</v>
      </c>
      <c r="M37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3" s="53"/>
      <c r="O373" s="75"/>
      <c r="P373" s="75"/>
      <c r="Q373" s="75"/>
      <c r="R373" s="86">
        <v>40909</v>
      </c>
      <c r="S373" s="86"/>
      <c r="T373" s="75"/>
      <c r="U373" s="76"/>
      <c r="V373" s="145"/>
      <c r="W373" s="145"/>
    </row>
    <row r="374" spans="1:23" x14ac:dyDescent="0.3">
      <c r="A374" s="67" t="s">
        <v>348</v>
      </c>
      <c r="B374" s="67" t="s">
        <v>376</v>
      </c>
      <c r="C374" s="68"/>
      <c r="D374" s="69"/>
      <c r="E374" s="68"/>
      <c r="F374" s="70"/>
      <c r="G374" s="68" t="s">
        <v>184</v>
      </c>
      <c r="H374" s="49"/>
      <c r="I374" s="50"/>
      <c r="J374" s="50"/>
      <c r="K374" s="51"/>
      <c r="L374" s="52">
        <v>374</v>
      </c>
      <c r="M37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4" s="53"/>
      <c r="O374" s="75"/>
      <c r="P374" s="75"/>
      <c r="Q374" s="75"/>
      <c r="R374" s="86">
        <v>40909</v>
      </c>
      <c r="S374" s="86"/>
      <c r="T374" s="75"/>
      <c r="U374" s="76"/>
      <c r="V374" s="145"/>
      <c r="W374" s="145"/>
    </row>
    <row r="375" spans="1:23" x14ac:dyDescent="0.3">
      <c r="A375" s="67" t="s">
        <v>374</v>
      </c>
      <c r="B375" s="67" t="s">
        <v>212</v>
      </c>
      <c r="C375" s="68"/>
      <c r="D375" s="69"/>
      <c r="E375" s="68"/>
      <c r="F375" s="70"/>
      <c r="G375" s="68" t="s">
        <v>184</v>
      </c>
      <c r="H375" s="49"/>
      <c r="I375" s="50"/>
      <c r="J375" s="50"/>
      <c r="K375" s="51"/>
      <c r="L375" s="52">
        <v>375</v>
      </c>
      <c r="M37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5" s="53"/>
      <c r="O375" s="75"/>
      <c r="P375" s="75"/>
      <c r="Q375" s="75"/>
      <c r="R375" s="86">
        <v>40179</v>
      </c>
      <c r="S375" s="86">
        <v>42005</v>
      </c>
      <c r="T375" s="75"/>
      <c r="U375" s="76"/>
      <c r="V375" s="145"/>
      <c r="W375" s="145"/>
    </row>
    <row r="376" spans="1:23" x14ac:dyDescent="0.3">
      <c r="A376" s="67" t="s">
        <v>212</v>
      </c>
      <c r="B376" s="67" t="s">
        <v>213</v>
      </c>
      <c r="C376" s="68"/>
      <c r="D376" s="69"/>
      <c r="E376" s="68"/>
      <c r="F376" s="70"/>
      <c r="G376" s="68" t="s">
        <v>184</v>
      </c>
      <c r="H376" s="49"/>
      <c r="I376" s="50"/>
      <c r="J376" s="50"/>
      <c r="K376" s="51"/>
      <c r="L376" s="52">
        <v>376</v>
      </c>
      <c r="M37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6" s="53"/>
      <c r="O376" s="75"/>
      <c r="P376" s="75"/>
      <c r="Q376" s="75"/>
      <c r="R376" s="86">
        <v>40179</v>
      </c>
      <c r="S376" s="86"/>
      <c r="T376" s="75"/>
      <c r="U376" s="76" t="s">
        <v>442</v>
      </c>
      <c r="V376" s="145"/>
      <c r="W376" s="145"/>
    </row>
    <row r="377" spans="1:23" x14ac:dyDescent="0.3">
      <c r="A377" s="67" t="s">
        <v>260</v>
      </c>
      <c r="B377" s="67" t="s">
        <v>367</v>
      </c>
      <c r="C377" s="68"/>
      <c r="D377" s="69"/>
      <c r="E377" s="68"/>
      <c r="F377" s="70"/>
      <c r="G377" s="68" t="s">
        <v>184</v>
      </c>
      <c r="H377" s="49"/>
      <c r="I377" s="50"/>
      <c r="J377" s="50"/>
      <c r="K377" s="51"/>
      <c r="L377" s="52">
        <v>377</v>
      </c>
      <c r="M37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7" s="53"/>
      <c r="O377" s="75"/>
      <c r="P377" s="75"/>
      <c r="Q377" s="75"/>
      <c r="R377" s="86">
        <v>40148</v>
      </c>
      <c r="S377" s="86"/>
      <c r="T377" s="75"/>
      <c r="U377" s="76"/>
      <c r="V377" s="145"/>
      <c r="W377" s="145"/>
    </row>
    <row r="378" spans="1:23" x14ac:dyDescent="0.3">
      <c r="A378" s="67" t="s">
        <v>260</v>
      </c>
      <c r="B378" s="67" t="s">
        <v>368</v>
      </c>
      <c r="C378" s="68"/>
      <c r="D378" s="69"/>
      <c r="E378" s="68"/>
      <c r="F378" s="70"/>
      <c r="G378" s="68" t="s">
        <v>184</v>
      </c>
      <c r="H378" s="49"/>
      <c r="I378" s="50"/>
      <c r="J378" s="50"/>
      <c r="K378" s="51"/>
      <c r="L378" s="52">
        <v>378</v>
      </c>
      <c r="M37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8" s="53"/>
      <c r="O378" s="75"/>
      <c r="P378" s="75"/>
      <c r="Q378" s="75"/>
      <c r="R378" s="86">
        <v>40148</v>
      </c>
      <c r="S378" s="86"/>
      <c r="T378" s="75"/>
      <c r="U378" s="76"/>
      <c r="V378" s="145"/>
      <c r="W378" s="145"/>
    </row>
    <row r="379" spans="1:23" x14ac:dyDescent="0.3">
      <c r="A379" s="67" t="s">
        <v>260</v>
      </c>
      <c r="B379" s="67" t="s">
        <v>246</v>
      </c>
      <c r="C379" s="68"/>
      <c r="D379" s="69"/>
      <c r="E379" s="68"/>
      <c r="F379" s="70"/>
      <c r="G379" s="68" t="s">
        <v>184</v>
      </c>
      <c r="H379" s="49"/>
      <c r="I379" s="50"/>
      <c r="J379" s="50"/>
      <c r="K379" s="51"/>
      <c r="L379" s="52">
        <v>379</v>
      </c>
      <c r="M37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79" s="53"/>
      <c r="O379" s="75"/>
      <c r="P379" s="75"/>
      <c r="Q379" s="75"/>
      <c r="R379" s="86">
        <v>40148</v>
      </c>
      <c r="S379" s="86"/>
      <c r="T379" s="75"/>
      <c r="U379" s="76"/>
      <c r="V379" s="145"/>
      <c r="W379" s="145"/>
    </row>
    <row r="380" spans="1:23" x14ac:dyDescent="0.3">
      <c r="A380" s="67" t="s">
        <v>260</v>
      </c>
      <c r="B380" s="67" t="s">
        <v>369</v>
      </c>
      <c r="C380" s="68"/>
      <c r="D380" s="69"/>
      <c r="E380" s="68"/>
      <c r="F380" s="70"/>
      <c r="G380" s="68" t="s">
        <v>184</v>
      </c>
      <c r="H380" s="49"/>
      <c r="I380" s="50"/>
      <c r="J380" s="50"/>
      <c r="K380" s="51"/>
      <c r="L380" s="52">
        <v>380</v>
      </c>
      <c r="M38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0" s="53"/>
      <c r="O380" s="75"/>
      <c r="P380" s="75"/>
      <c r="Q380" s="75"/>
      <c r="R380" s="86">
        <v>40148</v>
      </c>
      <c r="S380" s="86"/>
      <c r="T380" s="75"/>
      <c r="U380" s="76"/>
      <c r="V380" s="145"/>
      <c r="W380" s="145"/>
    </row>
    <row r="381" spans="1:23" x14ac:dyDescent="0.3">
      <c r="A381" s="67" t="s">
        <v>260</v>
      </c>
      <c r="B381" s="67" t="s">
        <v>370</v>
      </c>
      <c r="C381" s="68"/>
      <c r="D381" s="69"/>
      <c r="E381" s="68"/>
      <c r="F381" s="70"/>
      <c r="G381" s="68" t="s">
        <v>184</v>
      </c>
      <c r="H381" s="49"/>
      <c r="I381" s="50"/>
      <c r="J381" s="50"/>
      <c r="K381" s="51"/>
      <c r="L381" s="52">
        <v>381</v>
      </c>
      <c r="M38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1" s="53"/>
      <c r="O381" s="75"/>
      <c r="P381" s="75"/>
      <c r="Q381" s="75"/>
      <c r="R381" s="86">
        <v>40148</v>
      </c>
      <c r="S381" s="86"/>
      <c r="T381" s="75"/>
      <c r="U381" s="76"/>
      <c r="V381" s="145"/>
      <c r="W381" s="145"/>
    </row>
    <row r="382" spans="1:23" x14ac:dyDescent="0.3">
      <c r="A382" s="67" t="s">
        <v>260</v>
      </c>
      <c r="B382" s="67" t="s">
        <v>204</v>
      </c>
      <c r="C382" s="68"/>
      <c r="D382" s="69"/>
      <c r="E382" s="68"/>
      <c r="F382" s="70"/>
      <c r="G382" s="68" t="s">
        <v>184</v>
      </c>
      <c r="H382" s="49"/>
      <c r="I382" s="50"/>
      <c r="J382" s="50"/>
      <c r="K382" s="51"/>
      <c r="L382" s="52">
        <v>382</v>
      </c>
      <c r="M38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2" s="53"/>
      <c r="O382" s="75"/>
      <c r="P382" s="75"/>
      <c r="Q382" s="75"/>
      <c r="R382" s="86">
        <v>40148</v>
      </c>
      <c r="S382" s="86"/>
      <c r="T382" s="75"/>
      <c r="U382" s="76"/>
      <c r="V382" s="145"/>
      <c r="W382" s="145"/>
    </row>
    <row r="383" spans="1:23" x14ac:dyDescent="0.3">
      <c r="A383" s="67" t="s">
        <v>260</v>
      </c>
      <c r="B383" s="67" t="s">
        <v>371</v>
      </c>
      <c r="C383" s="68"/>
      <c r="D383" s="69"/>
      <c r="E383" s="68"/>
      <c r="F383" s="70"/>
      <c r="G383" s="68" t="s">
        <v>184</v>
      </c>
      <c r="H383" s="49"/>
      <c r="I383" s="50"/>
      <c r="J383" s="50"/>
      <c r="K383" s="51"/>
      <c r="L383" s="52">
        <v>383</v>
      </c>
      <c r="M38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3" s="53"/>
      <c r="O383" s="75"/>
      <c r="P383" s="75"/>
      <c r="Q383" s="75"/>
      <c r="R383" s="86">
        <v>40148</v>
      </c>
      <c r="S383" s="86"/>
      <c r="T383" s="75"/>
      <c r="U383" s="76"/>
      <c r="V383" s="145"/>
      <c r="W383" s="145"/>
    </row>
    <row r="384" spans="1:23" x14ac:dyDescent="0.3">
      <c r="A384" s="67" t="s">
        <v>220</v>
      </c>
      <c r="B384" s="67" t="s">
        <v>367</v>
      </c>
      <c r="C384" s="68"/>
      <c r="D384" s="69"/>
      <c r="E384" s="68"/>
      <c r="F384" s="70"/>
      <c r="G384" s="68" t="s">
        <v>184</v>
      </c>
      <c r="H384" s="49"/>
      <c r="I384" s="50"/>
      <c r="J384" s="50"/>
      <c r="K384" s="51"/>
      <c r="L384" s="52">
        <v>384</v>
      </c>
      <c r="M38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4" s="53"/>
      <c r="O384" s="75"/>
      <c r="P384" s="75"/>
      <c r="Q384" s="75"/>
      <c r="R384" s="86">
        <v>39387</v>
      </c>
      <c r="S384" s="86"/>
      <c r="T384" s="75"/>
      <c r="U384" s="76"/>
      <c r="V384" s="145"/>
      <c r="W384" s="145"/>
    </row>
    <row r="385" spans="1:23" x14ac:dyDescent="0.3">
      <c r="A385" s="67" t="s">
        <v>220</v>
      </c>
      <c r="B385" s="67" t="s">
        <v>377</v>
      </c>
      <c r="C385" s="68"/>
      <c r="D385" s="69"/>
      <c r="E385" s="68"/>
      <c r="F385" s="70"/>
      <c r="G385" s="68" t="s">
        <v>184</v>
      </c>
      <c r="H385" s="49"/>
      <c r="I385" s="50"/>
      <c r="J385" s="50"/>
      <c r="K385" s="51"/>
      <c r="L385" s="52">
        <v>385</v>
      </c>
      <c r="M38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5" s="53"/>
      <c r="O385" s="75"/>
      <c r="P385" s="75"/>
      <c r="Q385" s="75"/>
      <c r="R385" s="86">
        <v>39387</v>
      </c>
      <c r="S385" s="86"/>
      <c r="T385" s="75"/>
      <c r="U385" s="76"/>
      <c r="V385" s="145"/>
      <c r="W385" s="145"/>
    </row>
    <row r="386" spans="1:23" x14ac:dyDescent="0.3">
      <c r="A386" s="67" t="s">
        <v>220</v>
      </c>
      <c r="B386" s="67" t="s">
        <v>283</v>
      </c>
      <c r="C386" s="68"/>
      <c r="D386" s="69"/>
      <c r="E386" s="68"/>
      <c r="F386" s="70"/>
      <c r="G386" s="68" t="s">
        <v>184</v>
      </c>
      <c r="H386" s="49"/>
      <c r="I386" s="50"/>
      <c r="J386" s="50"/>
      <c r="K386" s="51"/>
      <c r="L386" s="52">
        <v>386</v>
      </c>
      <c r="M38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6" s="53"/>
      <c r="O386" s="75"/>
      <c r="P386" s="75"/>
      <c r="Q386" s="75"/>
      <c r="R386" s="86">
        <v>39387</v>
      </c>
      <c r="S386" s="86"/>
      <c r="T386" s="75"/>
      <c r="U386" s="76"/>
      <c r="V386" s="145"/>
      <c r="W386" s="145"/>
    </row>
    <row r="387" spans="1:23" x14ac:dyDescent="0.3">
      <c r="A387" s="67" t="s">
        <v>220</v>
      </c>
      <c r="B387" s="67" t="s">
        <v>259</v>
      </c>
      <c r="C387" s="68"/>
      <c r="D387" s="69"/>
      <c r="E387" s="68"/>
      <c r="F387" s="70"/>
      <c r="G387" s="68" t="s">
        <v>184</v>
      </c>
      <c r="H387" s="49"/>
      <c r="I387" s="50"/>
      <c r="J387" s="50"/>
      <c r="K387" s="51"/>
      <c r="L387" s="52">
        <v>387</v>
      </c>
      <c r="M38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7" s="53"/>
      <c r="O387" s="75"/>
      <c r="P387" s="75"/>
      <c r="Q387" s="75"/>
      <c r="R387" s="86">
        <v>39387</v>
      </c>
      <c r="S387" s="86"/>
      <c r="T387" s="75"/>
      <c r="U387" s="76"/>
      <c r="V387" s="145"/>
      <c r="W387" s="145"/>
    </row>
    <row r="388" spans="1:23" x14ac:dyDescent="0.3">
      <c r="A388" s="67" t="s">
        <v>220</v>
      </c>
      <c r="B388" s="67" t="s">
        <v>378</v>
      </c>
      <c r="C388" s="68"/>
      <c r="D388" s="69"/>
      <c r="E388" s="68"/>
      <c r="F388" s="70"/>
      <c r="G388" s="68" t="s">
        <v>184</v>
      </c>
      <c r="H388" s="49"/>
      <c r="I388" s="50"/>
      <c r="J388" s="50"/>
      <c r="K388" s="51"/>
      <c r="L388" s="52">
        <v>388</v>
      </c>
      <c r="M38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8" s="53"/>
      <c r="O388" s="75"/>
      <c r="P388" s="75"/>
      <c r="Q388" s="75"/>
      <c r="R388" s="86">
        <v>39387</v>
      </c>
      <c r="S388" s="86"/>
      <c r="T388" s="75"/>
      <c r="U388" s="76"/>
      <c r="V388" s="145"/>
      <c r="W388" s="145"/>
    </row>
    <row r="389" spans="1:23" x14ac:dyDescent="0.3">
      <c r="A389" s="67" t="s">
        <v>220</v>
      </c>
      <c r="B389" s="67" t="s">
        <v>379</v>
      </c>
      <c r="C389" s="68"/>
      <c r="D389" s="69"/>
      <c r="E389" s="68"/>
      <c r="F389" s="70"/>
      <c r="G389" s="68" t="s">
        <v>184</v>
      </c>
      <c r="H389" s="49"/>
      <c r="I389" s="50"/>
      <c r="J389" s="50"/>
      <c r="K389" s="51"/>
      <c r="L389" s="52">
        <v>389</v>
      </c>
      <c r="M38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89" s="53"/>
      <c r="O389" s="75"/>
      <c r="P389" s="75"/>
      <c r="Q389" s="75"/>
      <c r="R389" s="86">
        <v>39387</v>
      </c>
      <c r="S389" s="86"/>
      <c r="T389" s="75"/>
      <c r="U389" s="76"/>
      <c r="V389" s="145"/>
      <c r="W389" s="145"/>
    </row>
    <row r="390" spans="1:23" x14ac:dyDescent="0.3">
      <c r="A390" s="67" t="s">
        <v>345</v>
      </c>
      <c r="B390" s="67" t="s">
        <v>316</v>
      </c>
      <c r="C390" s="68"/>
      <c r="D390" s="69"/>
      <c r="E390" s="68"/>
      <c r="F390" s="70"/>
      <c r="G390" s="68" t="s">
        <v>184</v>
      </c>
      <c r="H390" s="49"/>
      <c r="I390" s="50"/>
      <c r="J390" s="50"/>
      <c r="K390" s="51"/>
      <c r="L390" s="52">
        <v>390</v>
      </c>
      <c r="M39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0" s="53"/>
      <c r="O390" s="75"/>
      <c r="P390" s="75"/>
      <c r="Q390" s="75"/>
      <c r="R390" s="86">
        <v>38718</v>
      </c>
      <c r="S390" s="86"/>
      <c r="T390" s="75"/>
      <c r="U390" s="76"/>
      <c r="V390" s="145"/>
      <c r="W390" s="145"/>
    </row>
    <row r="391" spans="1:23" x14ac:dyDescent="0.3">
      <c r="A391" s="67" t="s">
        <v>222</v>
      </c>
      <c r="B391" s="67" t="s">
        <v>345</v>
      </c>
      <c r="C391" s="79"/>
      <c r="D391" s="80"/>
      <c r="E391" s="79"/>
      <c r="F391" s="81"/>
      <c r="G391" s="79" t="s">
        <v>184</v>
      </c>
      <c r="H391" s="82"/>
      <c r="I391" s="83"/>
      <c r="J391" s="83"/>
      <c r="K391" s="84"/>
      <c r="L391" s="85">
        <v>391</v>
      </c>
      <c r="M391" s="8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1" s="53"/>
      <c r="O391" s="75"/>
      <c r="P391" s="75"/>
      <c r="Q391" s="75"/>
      <c r="R391" s="86">
        <v>38353</v>
      </c>
      <c r="S391" s="86"/>
      <c r="T391" s="75"/>
      <c r="U391" s="76"/>
      <c r="V391" s="145" t="str">
        <f>REPLACE(INDEX(GroupVertices[Group], MATCH(Edges[[#This Row],[Vertex 1]],GroupVertices[Vertex],0)),1,1,"")</f>
        <v>3</v>
      </c>
      <c r="W391" s="145" t="str">
        <f>REPLACE(INDEX(GroupVertices[Group], MATCH(Edges[[#This Row],[Vertex 2]],GroupVertices[Vertex],0)),1,1,"")</f>
        <v>3</v>
      </c>
    </row>
    <row r="392" spans="1:23" x14ac:dyDescent="0.3">
      <c r="A392" s="67" t="s">
        <v>345</v>
      </c>
      <c r="B392" s="67" t="s">
        <v>245</v>
      </c>
      <c r="C392" s="68"/>
      <c r="D392" s="69"/>
      <c r="E392" s="68"/>
      <c r="F392" s="70"/>
      <c r="G392" s="68" t="s">
        <v>184</v>
      </c>
      <c r="H392" s="49"/>
      <c r="I392" s="50"/>
      <c r="J392" s="50"/>
      <c r="K392" s="51"/>
      <c r="L392" s="52">
        <v>392</v>
      </c>
      <c r="M39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2" s="53"/>
      <c r="O392" s="75"/>
      <c r="P392" s="75"/>
      <c r="Q392" s="75"/>
      <c r="R392" s="86">
        <v>23475</v>
      </c>
      <c r="S392" s="86"/>
      <c r="T392" s="75"/>
      <c r="U392" s="76"/>
      <c r="V392" s="145"/>
      <c r="W392" s="145"/>
    </row>
    <row r="393" spans="1:23" x14ac:dyDescent="0.3">
      <c r="A393" s="67" t="s">
        <v>257</v>
      </c>
      <c r="B393" s="67" t="s">
        <v>363</v>
      </c>
      <c r="C393" s="68"/>
      <c r="D393" s="69"/>
      <c r="E393" s="68"/>
      <c r="F393" s="70"/>
      <c r="G393" s="68" t="s">
        <v>184</v>
      </c>
      <c r="H393" s="49"/>
      <c r="I393" s="50"/>
      <c r="J393" s="50"/>
      <c r="K393" s="51"/>
      <c r="L393" s="52">
        <v>393</v>
      </c>
      <c r="M39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3" s="53"/>
      <c r="O393" s="75"/>
      <c r="P393" s="75"/>
      <c r="Q393" s="75"/>
      <c r="R393" s="86">
        <v>23377</v>
      </c>
      <c r="S393" s="86"/>
      <c r="T393" s="75"/>
      <c r="U393" s="76"/>
      <c r="V393" s="145"/>
      <c r="W393" s="145"/>
    </row>
    <row r="394" spans="1:23" x14ac:dyDescent="0.3">
      <c r="A394" s="67" t="s">
        <v>257</v>
      </c>
      <c r="B394" s="67" t="s">
        <v>311</v>
      </c>
      <c r="C394" s="68"/>
      <c r="D394" s="69"/>
      <c r="E394" s="68"/>
      <c r="F394" s="70"/>
      <c r="G394" s="68" t="s">
        <v>184</v>
      </c>
      <c r="H394" s="49"/>
      <c r="I394" s="50"/>
      <c r="J394" s="50"/>
      <c r="K394" s="51"/>
      <c r="L394" s="52">
        <v>394</v>
      </c>
      <c r="M39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4" s="53"/>
      <c r="O394" s="75"/>
      <c r="P394" s="75"/>
      <c r="Q394" s="75"/>
      <c r="R394" s="86">
        <v>23377</v>
      </c>
      <c r="S394" s="86"/>
      <c r="T394" s="75"/>
      <c r="U394" s="76"/>
      <c r="V394" s="145"/>
      <c r="W394" s="145"/>
    </row>
    <row r="395" spans="1:23" x14ac:dyDescent="0.3">
      <c r="A395" s="67" t="s">
        <v>396</v>
      </c>
      <c r="B395" s="67" t="s">
        <v>345</v>
      </c>
      <c r="C395" s="68"/>
      <c r="D395" s="69"/>
      <c r="E395" s="68"/>
      <c r="F395" s="70"/>
      <c r="G395" s="68" t="s">
        <v>184</v>
      </c>
      <c r="H395" s="49"/>
      <c r="I395" s="50"/>
      <c r="J395" s="50"/>
      <c r="K395" s="51"/>
      <c r="L395" s="52">
        <v>395</v>
      </c>
      <c r="M39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5" s="53"/>
      <c r="O395" s="75"/>
      <c r="P395" s="75"/>
      <c r="Q395" s="75"/>
      <c r="R395" s="86">
        <v>23377</v>
      </c>
      <c r="S395" s="86"/>
      <c r="T395" s="75"/>
      <c r="U395" s="76"/>
      <c r="V395" s="145"/>
      <c r="W395" s="145"/>
    </row>
    <row r="396" spans="1:23" x14ac:dyDescent="0.3">
      <c r="A396" s="67" t="s">
        <v>395</v>
      </c>
      <c r="B396" s="67" t="s">
        <v>297</v>
      </c>
      <c r="C396" s="68"/>
      <c r="D396" s="69"/>
      <c r="E396" s="68"/>
      <c r="F396" s="70"/>
      <c r="G396" s="68" t="s">
        <v>184</v>
      </c>
      <c r="H396" s="49"/>
      <c r="I396" s="50"/>
      <c r="J396" s="50"/>
      <c r="K396" s="51"/>
      <c r="L396" s="52">
        <v>396</v>
      </c>
      <c r="M39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6" s="53"/>
      <c r="O396" s="75"/>
      <c r="P396" s="75"/>
      <c r="Q396" s="75"/>
      <c r="R396" s="86">
        <v>23377</v>
      </c>
      <c r="S396" s="86"/>
      <c r="T396" s="75"/>
      <c r="U396" s="76"/>
      <c r="V396" s="145"/>
      <c r="W396" s="145"/>
    </row>
    <row r="397" spans="1:23" x14ac:dyDescent="0.3">
      <c r="A397" s="67" t="s">
        <v>297</v>
      </c>
      <c r="B397" s="67" t="s">
        <v>360</v>
      </c>
      <c r="C397" s="68"/>
      <c r="D397" s="69"/>
      <c r="E397" s="68"/>
      <c r="F397" s="70"/>
      <c r="G397" s="68" t="s">
        <v>184</v>
      </c>
      <c r="H397" s="49"/>
      <c r="I397" s="50"/>
      <c r="J397" s="50"/>
      <c r="K397" s="51"/>
      <c r="L397" s="52">
        <v>397</v>
      </c>
      <c r="M39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7" s="53"/>
      <c r="O397" s="75"/>
      <c r="P397" s="75"/>
      <c r="Q397" s="75"/>
      <c r="R397" s="86">
        <v>23377</v>
      </c>
      <c r="S397" s="86"/>
      <c r="T397" s="75"/>
      <c r="U397" s="76"/>
      <c r="V397" s="145"/>
      <c r="W397" s="145"/>
    </row>
    <row r="398" spans="1:23" x14ac:dyDescent="0.3">
      <c r="A398" s="67" t="s">
        <v>297</v>
      </c>
      <c r="B398" s="67" t="s">
        <v>298</v>
      </c>
      <c r="C398" s="68"/>
      <c r="D398" s="69"/>
      <c r="E398" s="68"/>
      <c r="F398" s="70"/>
      <c r="G398" s="68" t="s">
        <v>184</v>
      </c>
      <c r="H398" s="49"/>
      <c r="I398" s="50"/>
      <c r="J398" s="50"/>
      <c r="K398" s="51"/>
      <c r="L398" s="52">
        <v>398</v>
      </c>
      <c r="M39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8" s="53"/>
      <c r="O398" s="75"/>
      <c r="P398" s="75"/>
      <c r="Q398" s="75"/>
      <c r="R398" s="86">
        <v>23377</v>
      </c>
      <c r="S398" s="86"/>
      <c r="T398" s="75"/>
      <c r="U398" s="76"/>
      <c r="V398" s="145"/>
      <c r="W398" s="145"/>
    </row>
    <row r="399" spans="1:23" x14ac:dyDescent="0.3">
      <c r="A399" s="67" t="s">
        <v>392</v>
      </c>
      <c r="B399" s="67" t="s">
        <v>367</v>
      </c>
      <c r="C399" s="79"/>
      <c r="D399" s="80"/>
      <c r="E399" s="79"/>
      <c r="F399" s="81"/>
      <c r="G399" s="79" t="s">
        <v>184</v>
      </c>
      <c r="H399" s="82"/>
      <c r="I399" s="83"/>
      <c r="J399" s="83"/>
      <c r="K399" s="84"/>
      <c r="L399" s="85">
        <v>399</v>
      </c>
      <c r="M399" s="85"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399" s="53"/>
      <c r="O399" s="75"/>
      <c r="P399" s="75"/>
      <c r="Q399" s="75"/>
      <c r="R399" s="86">
        <v>23377</v>
      </c>
      <c r="S399" s="86"/>
      <c r="T399" s="75"/>
      <c r="U399" s="76"/>
      <c r="V399" s="145"/>
      <c r="W399" s="145"/>
    </row>
    <row r="400" spans="1:23" x14ac:dyDescent="0.3">
      <c r="A400" s="67" t="s">
        <v>366</v>
      </c>
      <c r="B400" s="67" t="s">
        <v>390</v>
      </c>
      <c r="C400" s="68"/>
      <c r="D400" s="69"/>
      <c r="E400" s="68"/>
      <c r="F400" s="70"/>
      <c r="G400" s="68" t="s">
        <v>184</v>
      </c>
      <c r="H400" s="49"/>
      <c r="I400" s="50"/>
      <c r="J400" s="50"/>
      <c r="K400" s="51"/>
      <c r="L400" s="52">
        <v>400</v>
      </c>
      <c r="M40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0" s="53"/>
      <c r="O400" s="75"/>
      <c r="P400" s="75"/>
      <c r="Q400" s="75"/>
      <c r="R400" s="86">
        <v>23377</v>
      </c>
      <c r="S400" s="86"/>
      <c r="T400" s="75"/>
      <c r="U400" s="76"/>
      <c r="V400" s="145"/>
      <c r="W400" s="145"/>
    </row>
    <row r="401" spans="1:23" x14ac:dyDescent="0.3">
      <c r="A401" s="67" t="s">
        <v>366</v>
      </c>
      <c r="B401" s="67" t="s">
        <v>348</v>
      </c>
      <c r="C401" s="68"/>
      <c r="D401" s="69"/>
      <c r="E401" s="68"/>
      <c r="F401" s="70"/>
      <c r="G401" s="68" t="s">
        <v>184</v>
      </c>
      <c r="H401" s="49"/>
      <c r="I401" s="50"/>
      <c r="J401" s="50"/>
      <c r="K401" s="51"/>
      <c r="L401" s="52">
        <v>401</v>
      </c>
      <c r="M40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1" s="53"/>
      <c r="O401" s="75"/>
      <c r="P401" s="75"/>
      <c r="Q401" s="75"/>
      <c r="R401" s="86">
        <v>23377</v>
      </c>
      <c r="S401" s="86"/>
      <c r="T401" s="75"/>
      <c r="U401" s="76"/>
      <c r="V401" s="145"/>
      <c r="W401" s="145"/>
    </row>
    <row r="402" spans="1:23" x14ac:dyDescent="0.3">
      <c r="A402" s="67" t="s">
        <v>366</v>
      </c>
      <c r="B402" s="67" t="s">
        <v>391</v>
      </c>
      <c r="C402" s="68"/>
      <c r="D402" s="69"/>
      <c r="E402" s="68"/>
      <c r="F402" s="70"/>
      <c r="G402" s="68" t="s">
        <v>184</v>
      </c>
      <c r="H402" s="49"/>
      <c r="I402" s="50"/>
      <c r="J402" s="50"/>
      <c r="K402" s="51"/>
      <c r="L402" s="52">
        <v>402</v>
      </c>
      <c r="M40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2" s="53"/>
      <c r="O402" s="75"/>
      <c r="P402" s="75"/>
      <c r="Q402" s="75"/>
      <c r="R402" s="86">
        <v>23377</v>
      </c>
      <c r="S402" s="86"/>
      <c r="T402" s="75"/>
      <c r="U402" s="76"/>
      <c r="V402" s="145"/>
      <c r="W402" s="145"/>
    </row>
    <row r="403" spans="1:23" x14ac:dyDescent="0.3">
      <c r="A403" s="67" t="s">
        <v>366</v>
      </c>
      <c r="B403" s="67" t="s">
        <v>364</v>
      </c>
      <c r="C403" s="68"/>
      <c r="D403" s="69"/>
      <c r="E403" s="68"/>
      <c r="F403" s="70"/>
      <c r="G403" s="68" t="s">
        <v>184</v>
      </c>
      <c r="H403" s="49"/>
      <c r="I403" s="50"/>
      <c r="J403" s="50"/>
      <c r="K403" s="51"/>
      <c r="L403" s="52">
        <v>403</v>
      </c>
      <c r="M40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3" s="53"/>
      <c r="O403" s="75"/>
      <c r="P403" s="75"/>
      <c r="Q403" s="75"/>
      <c r="R403" s="86">
        <v>23377</v>
      </c>
      <c r="S403" s="86"/>
      <c r="T403" s="75"/>
      <c r="U403" s="76"/>
      <c r="V403" s="145"/>
      <c r="W403" s="145"/>
    </row>
    <row r="404" spans="1:23" x14ac:dyDescent="0.3">
      <c r="A404" s="67" t="s">
        <v>345</v>
      </c>
      <c r="B404" s="67" t="s">
        <v>350</v>
      </c>
      <c r="C404" s="68"/>
      <c r="D404" s="69"/>
      <c r="E404" s="68"/>
      <c r="F404" s="70"/>
      <c r="G404" s="68" t="s">
        <v>184</v>
      </c>
      <c r="H404" s="49"/>
      <c r="I404" s="50"/>
      <c r="J404" s="50"/>
      <c r="K404" s="51"/>
      <c r="L404" s="52">
        <v>404</v>
      </c>
      <c r="M40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4" s="53"/>
      <c r="O404" s="75"/>
      <c r="P404" s="75"/>
      <c r="Q404" s="75"/>
      <c r="R404" s="86">
        <v>23377</v>
      </c>
      <c r="S404" s="86"/>
      <c r="T404" s="75"/>
      <c r="U404" s="76"/>
      <c r="V404" s="145"/>
      <c r="W404" s="145"/>
    </row>
    <row r="405" spans="1:23" x14ac:dyDescent="0.3">
      <c r="A405" s="67" t="s">
        <v>345</v>
      </c>
      <c r="B405" s="67" t="s">
        <v>291</v>
      </c>
      <c r="C405" s="68"/>
      <c r="D405" s="69"/>
      <c r="E405" s="68"/>
      <c r="F405" s="70"/>
      <c r="G405" s="68" t="s">
        <v>184</v>
      </c>
      <c r="H405" s="49"/>
      <c r="I405" s="50"/>
      <c r="J405" s="50"/>
      <c r="K405" s="51"/>
      <c r="L405" s="52">
        <v>405</v>
      </c>
      <c r="M40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5" s="53"/>
      <c r="O405" s="75"/>
      <c r="P405" s="75"/>
      <c r="Q405" s="75"/>
      <c r="R405" s="86">
        <v>23377</v>
      </c>
      <c r="S405" s="86"/>
      <c r="T405" s="75"/>
      <c r="U405" s="76"/>
      <c r="V405" s="145"/>
      <c r="W405" s="145"/>
    </row>
    <row r="406" spans="1:23" x14ac:dyDescent="0.3">
      <c r="A406" s="67" t="s">
        <v>345</v>
      </c>
      <c r="B406" s="67" t="s">
        <v>389</v>
      </c>
      <c r="C406" s="68"/>
      <c r="D406" s="69"/>
      <c r="E406" s="68"/>
      <c r="F406" s="70"/>
      <c r="G406" s="68" t="s">
        <v>184</v>
      </c>
      <c r="H406" s="49"/>
      <c r="I406" s="50"/>
      <c r="J406" s="50"/>
      <c r="K406" s="51"/>
      <c r="L406" s="52">
        <v>406</v>
      </c>
      <c r="M40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6" s="53"/>
      <c r="O406" s="75"/>
      <c r="P406" s="75"/>
      <c r="Q406" s="75"/>
      <c r="R406" s="86">
        <v>23377</v>
      </c>
      <c r="S406" s="86"/>
      <c r="T406" s="75"/>
      <c r="U406" s="76"/>
      <c r="V406" s="145"/>
      <c r="W406" s="145"/>
    </row>
    <row r="407" spans="1:23" x14ac:dyDescent="0.3">
      <c r="A407" s="67" t="s">
        <v>345</v>
      </c>
      <c r="B407" s="67" t="s">
        <v>303</v>
      </c>
      <c r="C407" s="68"/>
      <c r="D407" s="69"/>
      <c r="E407" s="68" t="s">
        <v>133</v>
      </c>
      <c r="F407" s="70"/>
      <c r="G407" s="68" t="s">
        <v>184</v>
      </c>
      <c r="H407" s="49"/>
      <c r="I407" s="50"/>
      <c r="J407" s="50"/>
      <c r="K407" s="51"/>
      <c r="L407" s="52">
        <v>407</v>
      </c>
      <c r="M40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7" s="53"/>
      <c r="O407" s="75"/>
      <c r="P407" s="75"/>
      <c r="Q407" s="75"/>
      <c r="R407" s="86">
        <v>23377</v>
      </c>
      <c r="S407" s="86"/>
      <c r="T407" s="75"/>
      <c r="U407" s="76"/>
      <c r="V407" s="145"/>
      <c r="W407" s="145"/>
    </row>
    <row r="408" spans="1:23" x14ac:dyDescent="0.3">
      <c r="A408" s="67" t="s">
        <v>245</v>
      </c>
      <c r="B408" s="67" t="s">
        <v>385</v>
      </c>
      <c r="C408" s="68"/>
      <c r="D408" s="69"/>
      <c r="E408" s="68"/>
      <c r="F408" s="70"/>
      <c r="G408" s="68" t="s">
        <v>184</v>
      </c>
      <c r="H408" s="49"/>
      <c r="I408" s="50"/>
      <c r="J408" s="50"/>
      <c r="K408" s="51"/>
      <c r="L408" s="52">
        <v>408</v>
      </c>
      <c r="M40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8" s="53"/>
      <c r="O408" s="75"/>
      <c r="P408" s="75"/>
      <c r="Q408" s="75"/>
      <c r="R408" s="86">
        <v>23377</v>
      </c>
      <c r="S408" s="86"/>
      <c r="T408" s="75"/>
      <c r="U408" s="76"/>
      <c r="V408" s="145"/>
      <c r="W408" s="145"/>
    </row>
    <row r="409" spans="1:23" x14ac:dyDescent="0.3">
      <c r="A409" s="67" t="s">
        <v>245</v>
      </c>
      <c r="B409" s="67" t="s">
        <v>379</v>
      </c>
      <c r="C409" s="68"/>
      <c r="D409" s="69"/>
      <c r="E409" s="68"/>
      <c r="F409" s="70"/>
      <c r="G409" s="68" t="s">
        <v>184</v>
      </c>
      <c r="H409" s="49"/>
      <c r="I409" s="50"/>
      <c r="J409" s="50"/>
      <c r="K409" s="51"/>
      <c r="L409" s="52">
        <v>409</v>
      </c>
      <c r="M409"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09" s="53"/>
      <c r="O409" s="75"/>
      <c r="P409" s="75"/>
      <c r="Q409" s="75"/>
      <c r="R409" s="86">
        <v>23377</v>
      </c>
      <c r="S409" s="86"/>
      <c r="T409" s="75"/>
      <c r="U409" s="76"/>
      <c r="V409" s="145"/>
      <c r="W409" s="145"/>
    </row>
    <row r="410" spans="1:23" x14ac:dyDescent="0.3">
      <c r="A410" s="67" t="s">
        <v>245</v>
      </c>
      <c r="B410" s="67" t="s">
        <v>371</v>
      </c>
      <c r="C410" s="68"/>
      <c r="D410" s="69"/>
      <c r="E410" s="68"/>
      <c r="F410" s="70"/>
      <c r="G410" s="68" t="s">
        <v>184</v>
      </c>
      <c r="H410" s="49"/>
      <c r="I410" s="50"/>
      <c r="J410" s="50"/>
      <c r="K410" s="51"/>
      <c r="L410" s="52">
        <v>410</v>
      </c>
      <c r="M410"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0" s="53"/>
      <c r="O410" s="75"/>
      <c r="P410" s="75"/>
      <c r="Q410" s="75"/>
      <c r="R410" s="86">
        <v>23377</v>
      </c>
      <c r="S410" s="86"/>
      <c r="T410" s="75"/>
      <c r="U410" s="76"/>
      <c r="V410" s="145"/>
      <c r="W410" s="145"/>
    </row>
    <row r="411" spans="1:23" x14ac:dyDescent="0.3">
      <c r="A411" s="67" t="s">
        <v>328</v>
      </c>
      <c r="B411" s="67" t="s">
        <v>257</v>
      </c>
      <c r="C411" s="68"/>
      <c r="D411" s="69"/>
      <c r="E411" s="68" t="s">
        <v>133</v>
      </c>
      <c r="F411" s="70"/>
      <c r="G411" s="68" t="s">
        <v>184</v>
      </c>
      <c r="H411" s="49"/>
      <c r="I411" s="50"/>
      <c r="J411" s="50"/>
      <c r="K411" s="51"/>
      <c r="L411" s="52">
        <v>411</v>
      </c>
      <c r="M411"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1" s="53"/>
      <c r="O411" s="75"/>
      <c r="P411" s="75"/>
      <c r="Q411" s="75"/>
      <c r="R411" s="86">
        <v>23377</v>
      </c>
      <c r="S411" s="86"/>
      <c r="T411" s="75"/>
      <c r="U411" s="76"/>
      <c r="V411" s="145"/>
      <c r="W411" s="145"/>
    </row>
    <row r="412" spans="1:23" x14ac:dyDescent="0.3">
      <c r="A412" s="67" t="s">
        <v>249</v>
      </c>
      <c r="B412" s="67" t="s">
        <v>207</v>
      </c>
      <c r="C412" s="68"/>
      <c r="D412" s="69"/>
      <c r="E412" s="68"/>
      <c r="F412" s="70"/>
      <c r="G412" s="68" t="s">
        <v>184</v>
      </c>
      <c r="H412" s="49"/>
      <c r="I412" s="50"/>
      <c r="J412" s="50"/>
      <c r="K412" s="51"/>
      <c r="L412" s="52">
        <v>412</v>
      </c>
      <c r="M412"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2" s="53"/>
      <c r="O412" s="75"/>
      <c r="P412" s="75"/>
      <c r="Q412" s="75"/>
      <c r="R412" s="86">
        <v>23377</v>
      </c>
      <c r="S412" s="86"/>
      <c r="T412" s="75"/>
      <c r="U412" s="76"/>
      <c r="V412" s="145"/>
      <c r="W412" s="145"/>
    </row>
    <row r="413" spans="1:23" x14ac:dyDescent="0.3">
      <c r="A413" s="67" t="s">
        <v>197</v>
      </c>
      <c r="B413" s="67" t="s">
        <v>200</v>
      </c>
      <c r="C413" s="68"/>
      <c r="D413" s="69"/>
      <c r="E413" s="68" t="s">
        <v>133</v>
      </c>
      <c r="F413" s="70"/>
      <c r="G413" s="68" t="s">
        <v>184</v>
      </c>
      <c r="H413" s="49"/>
      <c r="I413" s="50"/>
      <c r="J413" s="50"/>
      <c r="K413" s="51"/>
      <c r="L413" s="52">
        <v>413</v>
      </c>
      <c r="M413"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3" s="53"/>
      <c r="O413" s="75"/>
      <c r="P413" s="75"/>
      <c r="Q413" s="75"/>
      <c r="R413" s="86">
        <v>23377</v>
      </c>
      <c r="S413" s="86"/>
      <c r="T413" s="75"/>
      <c r="U413" s="76"/>
      <c r="V413" s="145"/>
      <c r="W413" s="145"/>
    </row>
    <row r="414" spans="1:23" x14ac:dyDescent="0.3">
      <c r="A414" s="67" t="s">
        <v>348</v>
      </c>
      <c r="B414" s="67" t="s">
        <v>374</v>
      </c>
      <c r="C414" s="68"/>
      <c r="D414" s="69"/>
      <c r="E414" s="68"/>
      <c r="F414" s="70"/>
      <c r="G414" s="68" t="s">
        <v>184</v>
      </c>
      <c r="H414" s="49"/>
      <c r="I414" s="50"/>
      <c r="J414" s="50"/>
      <c r="K414" s="51"/>
      <c r="L414" s="52">
        <v>414</v>
      </c>
      <c r="M414"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4" s="53"/>
      <c r="O414" s="75"/>
      <c r="P414" s="75"/>
      <c r="Q414" s="75"/>
      <c r="R414" s="86">
        <v>23377</v>
      </c>
      <c r="S414" s="86"/>
      <c r="T414" s="75"/>
      <c r="U414" s="76"/>
      <c r="V414" s="145"/>
      <c r="W414" s="145"/>
    </row>
    <row r="415" spans="1:23" x14ac:dyDescent="0.3">
      <c r="A415" s="67" t="s">
        <v>248</v>
      </c>
      <c r="B415" s="67" t="s">
        <v>207</v>
      </c>
      <c r="C415" s="68"/>
      <c r="D415" s="69"/>
      <c r="E415" s="68"/>
      <c r="F415" s="70"/>
      <c r="G415" s="68" t="s">
        <v>184</v>
      </c>
      <c r="H415" s="49"/>
      <c r="I415" s="50"/>
      <c r="J415" s="50"/>
      <c r="K415" s="51"/>
      <c r="L415" s="52">
        <v>415</v>
      </c>
      <c r="M415"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5" s="53"/>
      <c r="O415" s="75"/>
      <c r="P415" s="75"/>
      <c r="Q415" s="75"/>
      <c r="R415" s="86">
        <v>23377</v>
      </c>
      <c r="S415" s="86"/>
      <c r="T415" s="75"/>
      <c r="U415" s="76"/>
      <c r="V415" s="145"/>
      <c r="W415" s="145"/>
    </row>
    <row r="416" spans="1:23" x14ac:dyDescent="0.3">
      <c r="A416" s="67" t="s">
        <v>257</v>
      </c>
      <c r="B416" s="67" t="s">
        <v>301</v>
      </c>
      <c r="C416" s="68"/>
      <c r="D416" s="69"/>
      <c r="E416" s="68"/>
      <c r="F416" s="70"/>
      <c r="G416" s="68" t="s">
        <v>184</v>
      </c>
      <c r="H416" s="49"/>
      <c r="I416" s="50"/>
      <c r="J416" s="50"/>
      <c r="K416" s="51"/>
      <c r="L416" s="52">
        <v>416</v>
      </c>
      <c r="M416"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6" s="53"/>
      <c r="O416" s="75"/>
      <c r="P416" s="75"/>
      <c r="Q416" s="75"/>
      <c r="R416" s="86">
        <v>21916</v>
      </c>
      <c r="S416" s="86"/>
      <c r="T416" s="75"/>
      <c r="U416" s="76"/>
      <c r="V416" s="145"/>
      <c r="W416" s="145"/>
    </row>
    <row r="417" spans="1:23" x14ac:dyDescent="0.3">
      <c r="A417" s="67" t="s">
        <v>366</v>
      </c>
      <c r="B417" s="67" t="s">
        <v>314</v>
      </c>
      <c r="C417" s="68"/>
      <c r="D417" s="69"/>
      <c r="E417" s="68"/>
      <c r="F417" s="70"/>
      <c r="G417" s="68" t="s">
        <v>184</v>
      </c>
      <c r="H417" s="49"/>
      <c r="I417" s="50"/>
      <c r="J417" s="50"/>
      <c r="K417" s="51"/>
      <c r="L417" s="52">
        <v>417</v>
      </c>
      <c r="M417"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7" s="53"/>
      <c r="O417" s="75"/>
      <c r="P417" s="75"/>
      <c r="Q417" s="75"/>
      <c r="R417" s="86">
        <v>21916</v>
      </c>
      <c r="S417" s="86"/>
      <c r="T417" s="75"/>
      <c r="U417" s="76"/>
      <c r="V417" s="145" t="str">
        <f>REPLACE(INDEX(GroupVertices[Group], MATCH(Edges[[#This Row],[Vertex 1]],GroupVertices[Vertex],0)),1,1,"")</f>
        <v>3</v>
      </c>
      <c r="W417" s="145" t="str">
        <f>REPLACE(INDEX(GroupVertices[Group], MATCH(Edges[[#This Row],[Vertex 2]],GroupVertices[Vertex],0)),1,1,"")</f>
        <v>4</v>
      </c>
    </row>
    <row r="418" spans="1:23" x14ac:dyDescent="0.3">
      <c r="A418" s="67" t="s">
        <v>316</v>
      </c>
      <c r="B418" s="67" t="s">
        <v>380</v>
      </c>
      <c r="C418" s="68"/>
      <c r="D418" s="69"/>
      <c r="E418" s="68"/>
      <c r="F418" s="70"/>
      <c r="G418" s="68" t="s">
        <v>184</v>
      </c>
      <c r="H418" s="49"/>
      <c r="I418" s="50"/>
      <c r="J418" s="50"/>
      <c r="K418" s="51"/>
      <c r="L418" s="52">
        <v>418</v>
      </c>
      <c r="M418" s="52" t="b">
        <f xml:space="preserve"> IF(AND(OR(NOT(ISNUMBER(Edges[Categoría])), Edges[Categoría] &gt;= Misc!$O$2), OR(NOT(ISNUMBER(Edges[Categoría])), Edges[Categoría] &lt;= Misc!$P$2),OR(NOT(ISNUMBER(Edges[Start
Time])), Edges[Start
Time] &gt;= Misc!$O$3), OR(NOT(ISNUMBER(Edges[Start
Time])), Edges[Start
Time] &lt;= Misc!$P$3),OR(NOT(ISNUMBER(Edges[End
Time])), Edges[End
Time] &gt;= Misc!$O$4), OR(NOT(ISNUMBER(Edges[End
Time])), Edges[End
Time] &lt;= Misc!$P$4),OR(NOT(ISNUMBER(Edges[Duración
(meses)])), Edges[Duración
(meses)] &gt;= Misc!$O$5), OR(NOT(ISNUMBER(Edges[Duración
(meses)])), Edges[Duración
(meses)] &lt;= Misc!$P$5),TRUE), TRUE, FALSE)</f>
        <v>1</v>
      </c>
      <c r="N418" s="53"/>
      <c r="O418" s="75"/>
      <c r="P418" s="75"/>
      <c r="Q418" s="75"/>
      <c r="R418" s="86">
        <v>42736</v>
      </c>
      <c r="S418" s="86"/>
      <c r="T418" s="75"/>
      <c r="U418" s="76"/>
      <c r="V418" s="145"/>
      <c r="W418" s="145"/>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18"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18" xr:uid="{00000000-0002-0000-0000-000001000000}"/>
    <dataValidation allowBlank="1" showErrorMessage="1" sqref="N2:T418"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18"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18" xr:uid="{00000000-0002-0000-0000-000004000000}"/>
    <dataValidation allowBlank="1" showInputMessage="1" promptTitle="Edge Color" prompt="To select an optional edge color, right-click and select Select Color on the right-click menu." sqref="C3:C418" xr:uid="{00000000-0002-0000-0000-000005000000}"/>
    <dataValidation allowBlank="1" showInputMessage="1" errorTitle="Invalid Edge Width" error="The optional edge width must be a whole number between 1 and 10." promptTitle="Edge Width" prompt="Enter an optional edge width between 1 and 10." sqref="D3:D418"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418"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18" xr:uid="{00000000-0002-0000-0000-000008000000}">
      <formula1>ValidEdgeVisibilities</formula1>
    </dataValidation>
    <dataValidation allowBlank="1" showInputMessage="1" showErrorMessage="1" promptTitle="Vertex 1 Name" prompt="Enter the name of the edge's first vertex." sqref="A3:A418" xr:uid="{00000000-0002-0000-0000-000009000000}"/>
    <dataValidation allowBlank="1" showInputMessage="1" showErrorMessage="1" promptTitle="Vertex 2 Name" prompt="Enter the name of the edge's second vertex." sqref="B3:B418"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418"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18"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18" xr:uid="{00000000-0002-0000-0000-00000D000000}"/>
  </dataValidations>
  <pageMargins left="0.7" right="0.7" top="0.75" bottom="0.75" header="0.3" footer="0.3"/>
  <pageSetup orientation="portrait" verticalDpi="120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I250"/>
  <sheetViews>
    <sheetView workbookViewId="0">
      <pane xSplit="1" ySplit="2" topLeftCell="Z141" activePane="bottomRight" state="frozen"/>
      <selection pane="topRight" activeCell="B1" sqref="B1"/>
      <selection pane="bottomLeft" activeCell="A3" sqref="A3"/>
      <selection pane="bottomRight" activeCell="AD150" sqref="AD150"/>
    </sheetView>
  </sheetViews>
  <sheetFormatPr baseColWidth="10" defaultColWidth="8.88671875"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5.33203125" hidden="1" customWidth="1"/>
    <col min="15" max="15" width="10.33203125" hidden="1" customWidth="1"/>
    <col min="16" max="16" width="6.44140625" hidden="1" customWidth="1"/>
    <col min="17" max="17" width="8.33203125" hidden="1" customWidth="1"/>
    <col min="18" max="18" width="9.5546875" customWidth="1"/>
    <col min="19" max="19" width="9.33203125" customWidth="1"/>
    <col min="20" max="20" width="9.5546875" customWidth="1"/>
    <col min="21" max="23" width="14.33203125" customWidth="1"/>
    <col min="24" max="24" width="11.88671875" customWidth="1"/>
    <col min="25" max="25" width="14.44140625" customWidth="1"/>
    <col min="26" max="26" width="18.33203125" customWidth="1"/>
    <col min="27" max="27" width="5" style="3" hidden="1" customWidth="1"/>
    <col min="28" max="28" width="16" style="3" hidden="1" customWidth="1"/>
    <col min="29" max="29" width="16" style="6" bestFit="1" customWidth="1"/>
    <col min="30" max="30" width="10.88671875" style="2" bestFit="1"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5" x14ac:dyDescent="0.3">
      <c r="A1" s="88"/>
      <c r="B1" s="89" t="s">
        <v>40</v>
      </c>
      <c r="C1" s="55"/>
      <c r="D1" s="55"/>
      <c r="E1" s="55"/>
      <c r="F1" s="55"/>
      <c r="G1" s="55"/>
      <c r="H1" s="90" t="s">
        <v>44</v>
      </c>
      <c r="I1" s="91"/>
      <c r="J1" s="91"/>
      <c r="K1" s="91"/>
      <c r="L1" s="92" t="s">
        <v>45</v>
      </c>
      <c r="M1" s="93"/>
      <c r="N1" s="93"/>
      <c r="O1" s="93"/>
      <c r="P1" s="93"/>
      <c r="Q1" s="93"/>
      <c r="R1" s="94" t="s">
        <v>43</v>
      </c>
      <c r="S1" s="95"/>
      <c r="T1" s="96"/>
      <c r="U1" s="97"/>
      <c r="V1" s="95"/>
      <c r="W1" s="95"/>
      <c r="X1" s="95"/>
      <c r="Y1" s="95"/>
      <c r="Z1" s="95"/>
      <c r="AA1" s="98" t="s">
        <v>41</v>
      </c>
      <c r="AB1" s="60"/>
      <c r="AC1" s="99" t="s">
        <v>42</v>
      </c>
      <c r="AD1"/>
      <c r="AE1"/>
      <c r="AF1"/>
      <c r="AG1"/>
      <c r="AH1"/>
    </row>
    <row r="2" spans="1:35" ht="30" customHeight="1" x14ac:dyDescent="0.3">
      <c r="A2" s="43" t="s">
        <v>5</v>
      </c>
      <c r="B2" s="100" t="s">
        <v>2</v>
      </c>
      <c r="C2" s="100" t="s">
        <v>8</v>
      </c>
      <c r="D2" s="101" t="s">
        <v>46</v>
      </c>
      <c r="E2" s="102" t="s">
        <v>4</v>
      </c>
      <c r="F2" s="100" t="s">
        <v>49</v>
      </c>
      <c r="G2" s="100" t="s">
        <v>11</v>
      </c>
      <c r="H2" s="100" t="s">
        <v>47</v>
      </c>
      <c r="I2" s="100" t="s">
        <v>48</v>
      </c>
      <c r="J2" s="100" t="s">
        <v>78</v>
      </c>
      <c r="K2" s="100" t="s">
        <v>10</v>
      </c>
      <c r="L2" s="100" t="s">
        <v>27</v>
      </c>
      <c r="M2" s="100" t="s">
        <v>15</v>
      </c>
      <c r="N2" s="100" t="s">
        <v>16</v>
      </c>
      <c r="O2" s="100" t="s">
        <v>13</v>
      </c>
      <c r="P2" s="100" t="s">
        <v>28</v>
      </c>
      <c r="Q2" s="100" t="s">
        <v>29</v>
      </c>
      <c r="R2" s="44" t="s">
        <v>32</v>
      </c>
      <c r="S2" s="44" t="s">
        <v>33</v>
      </c>
      <c r="T2" s="44" t="s">
        <v>34</v>
      </c>
      <c r="U2" s="44" t="s">
        <v>35</v>
      </c>
      <c r="V2" s="44" t="s">
        <v>36</v>
      </c>
      <c r="W2" s="44" t="s">
        <v>37</v>
      </c>
      <c r="X2" s="44" t="s">
        <v>137</v>
      </c>
      <c r="Y2" s="44" t="s">
        <v>38</v>
      </c>
      <c r="Z2" s="44" t="s">
        <v>170</v>
      </c>
      <c r="AA2" s="43" t="s">
        <v>12</v>
      </c>
      <c r="AB2" s="43" t="s">
        <v>39</v>
      </c>
      <c r="AC2" s="100" t="s">
        <v>26</v>
      </c>
      <c r="AD2" s="10" t="s">
        <v>775</v>
      </c>
      <c r="AG2"/>
      <c r="AH2"/>
    </row>
    <row r="3" spans="1:35" ht="15" customHeight="1" x14ac:dyDescent="0.3">
      <c r="A3" s="108" t="s">
        <v>373</v>
      </c>
      <c r="B3" s="109" t="s">
        <v>347</v>
      </c>
      <c r="C3" s="109" t="s">
        <v>63</v>
      </c>
      <c r="D3" s="110">
        <v>7</v>
      </c>
      <c r="E3" s="111"/>
      <c r="F3" s="109"/>
      <c r="G3" s="109"/>
      <c r="H3" s="57" t="s">
        <v>373</v>
      </c>
      <c r="I3" s="112"/>
      <c r="J3" s="112"/>
      <c r="K3" s="57"/>
      <c r="L3" s="113"/>
      <c r="M3" s="114">
        <v>5780.99755859375</v>
      </c>
      <c r="N3" s="114">
        <v>4905.28466796875</v>
      </c>
      <c r="O3" s="115" t="s">
        <v>782</v>
      </c>
      <c r="P3" s="116"/>
      <c r="Q3" s="116"/>
      <c r="R3" s="147">
        <v>8</v>
      </c>
      <c r="S3" s="106"/>
      <c r="T3" s="106"/>
      <c r="U3" s="148">
        <v>875.78220799999997</v>
      </c>
      <c r="V3" s="148">
        <v>1.2949999999999999E-3</v>
      </c>
      <c r="W3" s="148">
        <v>1.5318E-2</v>
      </c>
      <c r="X3" s="148">
        <v>2.10364</v>
      </c>
      <c r="Y3" s="148">
        <v>7.1428571428571425E-2</v>
      </c>
      <c r="Z3" s="107"/>
      <c r="AA3" s="117">
        <v>3</v>
      </c>
      <c r="AB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 s="118"/>
      <c r="AD3" s="145" t="str">
        <f>REPLACE(INDEX(GroupVertices[Group], MATCH(Vertices[[#This Row],[Vertex]],GroupVertices[Vertex],0)),1,1,"")</f>
        <v>3</v>
      </c>
      <c r="AG3"/>
      <c r="AH3"/>
    </row>
    <row r="4" spans="1:35" x14ac:dyDescent="0.3">
      <c r="A4" s="108" t="s">
        <v>346</v>
      </c>
      <c r="B4" s="109" t="s">
        <v>347</v>
      </c>
      <c r="C4" s="109" t="s">
        <v>63</v>
      </c>
      <c r="D4" s="110">
        <v>5</v>
      </c>
      <c r="E4" s="111"/>
      <c r="F4" s="109"/>
      <c r="G4" s="109"/>
      <c r="H4" s="57"/>
      <c r="I4" s="112"/>
      <c r="J4" s="112"/>
      <c r="K4" s="57"/>
      <c r="L4" s="113"/>
      <c r="M4" s="114">
        <v>5337.025390625</v>
      </c>
      <c r="N4" s="114">
        <v>4403.12841796875</v>
      </c>
      <c r="O4" s="115" t="s">
        <v>782</v>
      </c>
      <c r="P4" s="116"/>
      <c r="Q4" s="116"/>
      <c r="R4" s="147">
        <v>9</v>
      </c>
      <c r="S4" s="106"/>
      <c r="T4" s="106"/>
      <c r="U4" s="148">
        <v>1307.9924960000001</v>
      </c>
      <c r="V4" s="148">
        <v>1.4139999999999999E-3</v>
      </c>
      <c r="W4" s="148">
        <v>2.1471000000000001E-2</v>
      </c>
      <c r="X4" s="148">
        <v>2.2394630000000002</v>
      </c>
      <c r="Y4" s="148">
        <v>0.1388888888888889</v>
      </c>
      <c r="Z4" s="107"/>
      <c r="AA4" s="117">
        <v>4</v>
      </c>
      <c r="AB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 s="118"/>
      <c r="AD4" s="145" t="str">
        <f>REPLACE(INDEX(GroupVertices[Group], MATCH(Vertices[[#This Row],[Vertex]],GroupVertices[Vertex],0)),1,1,"")</f>
        <v>3</v>
      </c>
      <c r="AE4" s="2"/>
      <c r="AI4" s="3"/>
    </row>
    <row r="5" spans="1:35" x14ac:dyDescent="0.3">
      <c r="A5" s="108" t="s">
        <v>352</v>
      </c>
      <c r="B5" s="109" t="s">
        <v>347</v>
      </c>
      <c r="C5" s="109" t="s">
        <v>63</v>
      </c>
      <c r="D5" s="110">
        <v>5</v>
      </c>
      <c r="E5" s="111"/>
      <c r="F5" s="109"/>
      <c r="G5" s="109"/>
      <c r="H5" s="57"/>
      <c r="I5" s="112"/>
      <c r="J5" s="112"/>
      <c r="K5" s="57"/>
      <c r="L5" s="113"/>
      <c r="M5" s="114">
        <v>5204.49072265625</v>
      </c>
      <c r="N5" s="114">
        <v>5142.263671875</v>
      </c>
      <c r="O5" s="115" t="s">
        <v>782</v>
      </c>
      <c r="P5" s="116"/>
      <c r="Q5" s="116"/>
      <c r="R5" s="147">
        <v>12</v>
      </c>
      <c r="S5" s="106"/>
      <c r="T5" s="106"/>
      <c r="U5" s="148">
        <v>1717.991863</v>
      </c>
      <c r="V5" s="148">
        <v>1.475E-3</v>
      </c>
      <c r="W5" s="148">
        <v>2.0514000000000001E-2</v>
      </c>
      <c r="X5" s="148">
        <v>3.3636759999999999</v>
      </c>
      <c r="Y5" s="148">
        <v>0</v>
      </c>
      <c r="Z5" s="107"/>
      <c r="AA5" s="117">
        <v>5</v>
      </c>
      <c r="AB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 s="118"/>
      <c r="AD5" s="145" t="str">
        <f>REPLACE(INDEX(GroupVertices[Group], MATCH(Vertices[[#This Row],[Vertex]],GroupVertices[Vertex],0)),1,1,"")</f>
        <v>1</v>
      </c>
      <c r="AE5" s="2"/>
      <c r="AI5" s="3"/>
    </row>
    <row r="6" spans="1:35" x14ac:dyDescent="0.3">
      <c r="A6" s="108" t="s">
        <v>357</v>
      </c>
      <c r="B6" s="109" t="s">
        <v>347</v>
      </c>
      <c r="C6" s="109" t="s">
        <v>63</v>
      </c>
      <c r="D6" s="110">
        <v>5</v>
      </c>
      <c r="E6" s="111"/>
      <c r="F6" s="109"/>
      <c r="G6" s="109"/>
      <c r="H6" s="57"/>
      <c r="I6" s="112"/>
      <c r="J6" s="112"/>
      <c r="K6" s="57"/>
      <c r="L6" s="113"/>
      <c r="M6" s="114">
        <v>3681.02099609375</v>
      </c>
      <c r="N6" s="114">
        <v>5099.5302734375</v>
      </c>
      <c r="O6" s="115" t="s">
        <v>782</v>
      </c>
      <c r="P6" s="116"/>
      <c r="Q6" s="116"/>
      <c r="R6" s="147">
        <v>15</v>
      </c>
      <c r="S6" s="106"/>
      <c r="T6" s="106"/>
      <c r="U6" s="148">
        <v>2609.903245</v>
      </c>
      <c r="V6" s="148">
        <v>1.4580000000000001E-3</v>
      </c>
      <c r="W6" s="148">
        <v>2.1957999999999998E-2</v>
      </c>
      <c r="X6" s="148">
        <v>4.2172869999999998</v>
      </c>
      <c r="Y6" s="148">
        <v>0</v>
      </c>
      <c r="Z6" s="107"/>
      <c r="AA6" s="117">
        <v>6</v>
      </c>
      <c r="AB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 s="118"/>
      <c r="AD6" s="145" t="str">
        <f>REPLACE(INDEX(GroupVertices[Group], MATCH(Vertices[[#This Row],[Vertex]],GroupVertices[Vertex],0)),1,1,"")</f>
        <v>6</v>
      </c>
      <c r="AE6" s="2"/>
      <c r="AI6" s="3"/>
    </row>
    <row r="7" spans="1:35" x14ac:dyDescent="0.3">
      <c r="A7" s="108" t="s">
        <v>365</v>
      </c>
      <c r="B7" s="109" t="s">
        <v>347</v>
      </c>
      <c r="C7" s="109" t="s">
        <v>63</v>
      </c>
      <c r="D7" s="110">
        <v>5</v>
      </c>
      <c r="E7" s="111"/>
      <c r="F7" s="109"/>
      <c r="G7" s="109"/>
      <c r="H7" s="57"/>
      <c r="I7" s="112"/>
      <c r="J7" s="112"/>
      <c r="K7" s="57"/>
      <c r="L7" s="113"/>
      <c r="M7" s="114">
        <v>5020.421875</v>
      </c>
      <c r="N7" s="114">
        <v>4756.744140625</v>
      </c>
      <c r="O7" s="115" t="s">
        <v>782</v>
      </c>
      <c r="P7" s="116"/>
      <c r="Q7" s="116"/>
      <c r="R7" s="147">
        <v>6</v>
      </c>
      <c r="S7" s="106"/>
      <c r="T7" s="106"/>
      <c r="U7" s="148">
        <v>484.39719100000002</v>
      </c>
      <c r="V7" s="148">
        <v>1.33E-3</v>
      </c>
      <c r="W7" s="148">
        <v>1.1533E-2</v>
      </c>
      <c r="X7" s="148">
        <v>1.5245519999999999</v>
      </c>
      <c r="Y7" s="148">
        <v>6.6666666666666666E-2</v>
      </c>
      <c r="Z7" s="107"/>
      <c r="AA7" s="117">
        <v>7</v>
      </c>
      <c r="AB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 s="118"/>
      <c r="AD7" s="145" t="str">
        <f>REPLACE(INDEX(GroupVertices[Group], MATCH(Vertices[[#This Row],[Vertex]],GroupVertices[Vertex],0)),1,1,"")</f>
        <v>3</v>
      </c>
      <c r="AE7" s="2"/>
      <c r="AI7" s="3"/>
    </row>
    <row r="8" spans="1:35" x14ac:dyDescent="0.3">
      <c r="A8" s="108" t="s">
        <v>580</v>
      </c>
      <c r="B8" s="109"/>
      <c r="C8" s="109"/>
      <c r="D8" s="110"/>
      <c r="E8" s="111"/>
      <c r="F8" s="109"/>
      <c r="G8" s="109"/>
      <c r="H8" s="57"/>
      <c r="I8" s="112"/>
      <c r="J8" s="112"/>
      <c r="K8" s="57"/>
      <c r="L8" s="113"/>
      <c r="M8" s="114">
        <v>7610.5478515625</v>
      </c>
      <c r="N8" s="114">
        <v>1241.8677978515625</v>
      </c>
      <c r="O8" s="115" t="s">
        <v>782</v>
      </c>
      <c r="P8" s="116"/>
      <c r="Q8" s="116"/>
      <c r="R8" s="147"/>
      <c r="S8" s="106"/>
      <c r="T8" s="106"/>
      <c r="U8" s="148"/>
      <c r="V8" s="148"/>
      <c r="W8" s="148"/>
      <c r="X8" s="148"/>
      <c r="Y8" s="148"/>
      <c r="Z8" s="107"/>
      <c r="AA8" s="117">
        <v>8</v>
      </c>
      <c r="AB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 s="118"/>
      <c r="AD8" s="145" t="str">
        <f>REPLACE(INDEX(GroupVertices[Group], MATCH(Vertices[[#This Row],[Vertex]],GroupVertices[Vertex],0)),1,1,"")</f>
        <v>2</v>
      </c>
      <c r="AE8" s="2"/>
      <c r="AI8" s="3"/>
    </row>
    <row r="9" spans="1:35" x14ac:dyDescent="0.3">
      <c r="A9" s="108" t="s">
        <v>583</v>
      </c>
      <c r="B9" s="109"/>
      <c r="C9" s="109"/>
      <c r="D9" s="110"/>
      <c r="E9" s="111"/>
      <c r="F9" s="109"/>
      <c r="G9" s="109"/>
      <c r="H9" s="57"/>
      <c r="I9" s="112"/>
      <c r="J9" s="112"/>
      <c r="K9" s="57"/>
      <c r="L9" s="113"/>
      <c r="M9" s="114">
        <v>6228.70263671875</v>
      </c>
      <c r="N9" s="114">
        <v>5322.39404296875</v>
      </c>
      <c r="O9" s="115" t="s">
        <v>782</v>
      </c>
      <c r="P9" s="116"/>
      <c r="Q9" s="116"/>
      <c r="R9" s="147"/>
      <c r="S9" s="106"/>
      <c r="T9" s="106"/>
      <c r="U9" s="148"/>
      <c r="V9" s="148"/>
      <c r="W9" s="148"/>
      <c r="X9" s="148"/>
      <c r="Y9" s="148"/>
      <c r="Z9" s="107"/>
      <c r="AA9" s="117">
        <v>9</v>
      </c>
      <c r="AB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 s="118"/>
      <c r="AD9" s="145" t="str">
        <f>REPLACE(INDEX(GroupVertices[Group], MATCH(Vertices[[#This Row],[Vertex]],GroupVertices[Vertex],0)),1,1,"")</f>
        <v>1</v>
      </c>
      <c r="AE9" s="2"/>
      <c r="AI9" s="3"/>
    </row>
    <row r="10" spans="1:35" x14ac:dyDescent="0.3">
      <c r="A10" s="108" t="s">
        <v>584</v>
      </c>
      <c r="B10" s="109"/>
      <c r="C10" s="109"/>
      <c r="D10" s="110"/>
      <c r="E10" s="111"/>
      <c r="F10" s="109"/>
      <c r="G10" s="109"/>
      <c r="H10" s="57"/>
      <c r="I10" s="112"/>
      <c r="J10" s="112"/>
      <c r="K10" s="57"/>
      <c r="L10" s="113"/>
      <c r="M10" s="114">
        <v>7611.509765625</v>
      </c>
      <c r="N10" s="114">
        <v>5628.36328125</v>
      </c>
      <c r="O10" s="115" t="s">
        <v>782</v>
      </c>
      <c r="P10" s="116"/>
      <c r="Q10" s="116"/>
      <c r="R10" s="147"/>
      <c r="S10" s="106"/>
      <c r="T10" s="106"/>
      <c r="U10" s="148"/>
      <c r="V10" s="148"/>
      <c r="W10" s="148"/>
      <c r="X10" s="148"/>
      <c r="Y10" s="148"/>
      <c r="Z10" s="107"/>
      <c r="AA10" s="117">
        <v>10</v>
      </c>
      <c r="AB1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 s="118"/>
      <c r="AD10" s="145" t="str">
        <f>REPLACE(INDEX(GroupVertices[Group], MATCH(Vertices[[#This Row],[Vertex]],GroupVertices[Vertex],0)),1,1,"")</f>
        <v>1</v>
      </c>
      <c r="AE10" s="2"/>
      <c r="AI10" s="3"/>
    </row>
    <row r="11" spans="1:35" x14ac:dyDescent="0.3">
      <c r="A11" s="108" t="s">
        <v>244</v>
      </c>
      <c r="B11" s="109"/>
      <c r="C11" s="109"/>
      <c r="D11" s="110"/>
      <c r="E11" s="111"/>
      <c r="F11" s="109"/>
      <c r="G11" s="109"/>
      <c r="H11" s="57"/>
      <c r="I11" s="112"/>
      <c r="J11" s="112"/>
      <c r="K11" s="57"/>
      <c r="L11" s="113"/>
      <c r="M11" s="114">
        <v>2344.89892578125</v>
      </c>
      <c r="N11" s="114">
        <v>4368.9091796875</v>
      </c>
      <c r="O11" s="115" t="s">
        <v>782</v>
      </c>
      <c r="P11" s="116"/>
      <c r="Q11" s="116"/>
      <c r="R11" s="147"/>
      <c r="S11" s="106"/>
      <c r="T11" s="106"/>
      <c r="U11" s="148"/>
      <c r="V11" s="148"/>
      <c r="W11" s="148"/>
      <c r="X11" s="148"/>
      <c r="Y11" s="148"/>
      <c r="Z11" s="107"/>
      <c r="AA11" s="117">
        <v>11</v>
      </c>
      <c r="AB1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 s="118"/>
      <c r="AD11" s="145" t="e">
        <f>REPLACE(INDEX(GroupVertices[Group], MATCH(Vertices[[#This Row],[Vertex]],GroupVertices[Vertex],0)),1,1,"")</f>
        <v>#N/A</v>
      </c>
      <c r="AE11" s="2"/>
      <c r="AI11" s="3"/>
    </row>
    <row r="12" spans="1:35" x14ac:dyDescent="0.3">
      <c r="A12" s="108" t="s">
        <v>588</v>
      </c>
      <c r="B12" s="109"/>
      <c r="C12" s="109"/>
      <c r="D12" s="110"/>
      <c r="E12" s="111"/>
      <c r="F12" s="109"/>
      <c r="G12" s="109"/>
      <c r="H12" s="57"/>
      <c r="I12" s="112"/>
      <c r="J12" s="112"/>
      <c r="K12" s="57"/>
      <c r="L12" s="113"/>
      <c r="M12" s="114">
        <v>7889.80810546875</v>
      </c>
      <c r="N12" s="114">
        <v>6359.67041015625</v>
      </c>
      <c r="O12" s="115" t="s">
        <v>782</v>
      </c>
      <c r="P12" s="116"/>
      <c r="Q12" s="116"/>
      <c r="R12" s="147"/>
      <c r="S12" s="106"/>
      <c r="T12" s="106"/>
      <c r="U12" s="148"/>
      <c r="V12" s="148"/>
      <c r="W12" s="148"/>
      <c r="X12" s="148"/>
      <c r="Y12" s="148"/>
      <c r="Z12" s="107"/>
      <c r="AA12" s="117">
        <v>12</v>
      </c>
      <c r="AB1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 s="118"/>
      <c r="AD12" s="145" t="str">
        <f>REPLACE(INDEX(GroupVertices[Group], MATCH(Vertices[[#This Row],[Vertex]],GroupVertices[Vertex],0)),1,1,"")</f>
        <v>1</v>
      </c>
      <c r="AE12" s="2"/>
      <c r="AI12" s="3"/>
    </row>
    <row r="13" spans="1:35" x14ac:dyDescent="0.3">
      <c r="A13" s="108" t="s">
        <v>256</v>
      </c>
      <c r="B13" s="109"/>
      <c r="C13" s="109"/>
      <c r="D13" s="110"/>
      <c r="E13" s="111"/>
      <c r="F13" s="109"/>
      <c r="G13" s="109"/>
      <c r="H13" s="57" t="s">
        <v>256</v>
      </c>
      <c r="I13" s="112"/>
      <c r="J13" s="112"/>
      <c r="K13" s="57"/>
      <c r="L13" s="113"/>
      <c r="M13" s="114">
        <v>5958.185546875</v>
      </c>
      <c r="N13" s="114">
        <v>4088.635498046875</v>
      </c>
      <c r="O13" s="115" t="s">
        <v>782</v>
      </c>
      <c r="P13" s="116"/>
      <c r="Q13" s="116"/>
      <c r="R13" s="147">
        <v>1</v>
      </c>
      <c r="S13" s="106"/>
      <c r="T13" s="106"/>
      <c r="U13" s="148">
        <v>0</v>
      </c>
      <c r="V13" s="148">
        <v>1.1119999999999999E-3</v>
      </c>
      <c r="W13" s="148">
        <v>2.0830000000000002E-3</v>
      </c>
      <c r="X13" s="148">
        <v>0.392121</v>
      </c>
      <c r="Y13" s="148">
        <v>0</v>
      </c>
      <c r="Z13" s="107"/>
      <c r="AA13" s="117">
        <v>13</v>
      </c>
      <c r="AB1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 s="118"/>
      <c r="AD13" s="145" t="str">
        <f>REPLACE(INDEX(GroupVertices[Group], MATCH(Vertices[[#This Row],[Vertex]],GroupVertices[Vertex],0)),1,1,"")</f>
        <v>5</v>
      </c>
      <c r="AE13" s="2"/>
      <c r="AI13" s="3"/>
    </row>
    <row r="14" spans="1:35" x14ac:dyDescent="0.3">
      <c r="A14" s="108" t="s">
        <v>574</v>
      </c>
      <c r="B14" s="109"/>
      <c r="C14" s="109"/>
      <c r="D14" s="110"/>
      <c r="E14" s="111"/>
      <c r="F14" s="109"/>
      <c r="G14" s="109"/>
      <c r="H14" s="57" t="s">
        <v>574</v>
      </c>
      <c r="I14" s="112"/>
      <c r="J14" s="112"/>
      <c r="K14" s="57"/>
      <c r="L14" s="113"/>
      <c r="M14" s="114">
        <v>2114.703125</v>
      </c>
      <c r="N14" s="114">
        <v>4119.93017578125</v>
      </c>
      <c r="O14" s="115" t="s">
        <v>782</v>
      </c>
      <c r="P14" s="116"/>
      <c r="Q14" s="116"/>
      <c r="R14" s="147"/>
      <c r="S14" s="106"/>
      <c r="T14" s="106"/>
      <c r="U14" s="148"/>
      <c r="V14" s="148"/>
      <c r="W14" s="148"/>
      <c r="X14" s="148"/>
      <c r="Y14" s="148"/>
      <c r="Z14" s="107"/>
      <c r="AA14" s="117">
        <v>14</v>
      </c>
      <c r="AB1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 s="118"/>
      <c r="AD14" s="145" t="str">
        <f>REPLACE(INDEX(GroupVertices[Group], MATCH(Vertices[[#This Row],[Vertex]],GroupVertices[Vertex],0)),1,1,"")</f>
        <v>9</v>
      </c>
      <c r="AE14" s="2"/>
      <c r="AI14" s="3"/>
    </row>
    <row r="15" spans="1:35" x14ac:dyDescent="0.3">
      <c r="A15" s="108" t="s">
        <v>222</v>
      </c>
      <c r="B15" s="109"/>
      <c r="C15" s="109"/>
      <c r="D15" s="110"/>
      <c r="E15" s="111"/>
      <c r="F15" s="109"/>
      <c r="G15" s="109"/>
      <c r="H15" s="57" t="s">
        <v>222</v>
      </c>
      <c r="I15" s="112"/>
      <c r="J15" s="112"/>
      <c r="K15" s="57"/>
      <c r="L15" s="113"/>
      <c r="M15" s="114">
        <v>3862.57421875</v>
      </c>
      <c r="N15" s="114">
        <v>3672.830810546875</v>
      </c>
      <c r="O15" s="115" t="s">
        <v>782</v>
      </c>
      <c r="P15" s="116"/>
      <c r="Q15" s="116"/>
      <c r="R15" s="147">
        <v>7</v>
      </c>
      <c r="S15" s="106"/>
      <c r="T15" s="106"/>
      <c r="U15" s="148">
        <v>508.92154499999998</v>
      </c>
      <c r="V15" s="148">
        <v>1.3370000000000001E-3</v>
      </c>
      <c r="W15" s="148">
        <v>1.4591E-2</v>
      </c>
      <c r="X15" s="148">
        <v>1.8052299999999999</v>
      </c>
      <c r="Y15" s="148">
        <v>4.7619047619047616E-2</v>
      </c>
      <c r="Z15" s="107"/>
      <c r="AA15" s="117">
        <v>15</v>
      </c>
      <c r="AB1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 s="118"/>
      <c r="AD15" s="145" t="str">
        <f>REPLACE(INDEX(GroupVertices[Group], MATCH(Vertices[[#This Row],[Vertex]],GroupVertices[Vertex],0)),1,1,"")</f>
        <v>3</v>
      </c>
      <c r="AE15" s="2"/>
      <c r="AI15" s="3"/>
    </row>
    <row r="16" spans="1:35" x14ac:dyDescent="0.3">
      <c r="A16" s="108" t="s">
        <v>270</v>
      </c>
      <c r="B16" s="109"/>
      <c r="C16" s="109"/>
      <c r="D16" s="110"/>
      <c r="E16" s="111"/>
      <c r="F16" s="109"/>
      <c r="G16" s="109"/>
      <c r="H16" s="57" t="s">
        <v>231</v>
      </c>
      <c r="I16" s="112"/>
      <c r="J16" s="112"/>
      <c r="K16" s="57"/>
      <c r="L16" s="113"/>
      <c r="M16" s="114">
        <v>5230.103515625</v>
      </c>
      <c r="N16" s="114">
        <v>3513.318359375</v>
      </c>
      <c r="O16" s="115" t="s">
        <v>782</v>
      </c>
      <c r="P16" s="116"/>
      <c r="Q16" s="116"/>
      <c r="R16" s="147">
        <v>1</v>
      </c>
      <c r="S16" s="106"/>
      <c r="T16" s="106"/>
      <c r="U16" s="148">
        <v>0</v>
      </c>
      <c r="V16" s="148">
        <v>1.1349999999999999E-3</v>
      </c>
      <c r="W16" s="148">
        <v>2.4940000000000001E-3</v>
      </c>
      <c r="X16" s="148">
        <v>0.399507</v>
      </c>
      <c r="Y16" s="148">
        <v>0</v>
      </c>
      <c r="Z16" s="107"/>
      <c r="AA16" s="117">
        <v>16</v>
      </c>
      <c r="AB1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 s="118"/>
      <c r="AD16" s="145" t="str">
        <f>REPLACE(INDEX(GroupVertices[Group], MATCH(Vertices[[#This Row],[Vertex]],GroupVertices[Vertex],0)),1,1,"")</f>
        <v>4</v>
      </c>
      <c r="AE16" s="2"/>
      <c r="AI16" s="3"/>
    </row>
    <row r="17" spans="1:35" x14ac:dyDescent="0.3">
      <c r="A17" s="108" t="s">
        <v>231</v>
      </c>
      <c r="B17" s="109"/>
      <c r="C17" s="109"/>
      <c r="D17" s="110"/>
      <c r="E17" s="111"/>
      <c r="F17" s="109"/>
      <c r="G17" s="109"/>
      <c r="H17" s="57" t="s">
        <v>684</v>
      </c>
      <c r="I17" s="112"/>
      <c r="J17" s="112"/>
      <c r="K17" s="57"/>
      <c r="L17" s="113"/>
      <c r="M17" s="114">
        <v>1997.0584716796875</v>
      </c>
      <c r="N17" s="114">
        <v>4056.98193359375</v>
      </c>
      <c r="O17" s="115" t="s">
        <v>782</v>
      </c>
      <c r="P17" s="116"/>
      <c r="Q17" s="116"/>
      <c r="R17" s="147">
        <v>3</v>
      </c>
      <c r="S17" s="106"/>
      <c r="T17" s="106"/>
      <c r="U17" s="148">
        <v>301.69757800000002</v>
      </c>
      <c r="V17" s="148">
        <v>1.2800000000000001E-3</v>
      </c>
      <c r="W17" s="148">
        <v>5.254E-3</v>
      </c>
      <c r="X17" s="148">
        <v>1.047606</v>
      </c>
      <c r="Y17" s="148">
        <v>0</v>
      </c>
      <c r="Z17" s="107"/>
      <c r="AA17" s="117">
        <v>17</v>
      </c>
      <c r="AB1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 s="118"/>
      <c r="AD17" s="145" t="str">
        <f>REPLACE(INDEX(GroupVertices[Group], MATCH(Vertices[[#This Row],[Vertex]],GroupVertices[Vertex],0)),1,1,"")</f>
        <v>4</v>
      </c>
      <c r="AE17" s="2"/>
      <c r="AI17" s="3"/>
    </row>
    <row r="18" spans="1:35" x14ac:dyDescent="0.3">
      <c r="A18" s="108" t="s">
        <v>243</v>
      </c>
      <c r="B18" s="109"/>
      <c r="C18" s="109"/>
      <c r="D18" s="110"/>
      <c r="E18" s="111"/>
      <c r="F18" s="109"/>
      <c r="G18" s="109"/>
      <c r="H18" s="57" t="s">
        <v>243</v>
      </c>
      <c r="I18" s="112"/>
      <c r="J18" s="112"/>
      <c r="K18" s="57"/>
      <c r="L18" s="113"/>
      <c r="M18" s="114">
        <v>6022.73291015625</v>
      </c>
      <c r="N18" s="114">
        <v>2268.913330078125</v>
      </c>
      <c r="O18" s="115" t="s">
        <v>782</v>
      </c>
      <c r="P18" s="116"/>
      <c r="Q18" s="116"/>
      <c r="R18" s="147">
        <v>6</v>
      </c>
      <c r="S18" s="106"/>
      <c r="T18" s="106"/>
      <c r="U18" s="148">
        <v>973.19580699999995</v>
      </c>
      <c r="V18" s="148">
        <v>1.1050000000000001E-3</v>
      </c>
      <c r="W18" s="148">
        <v>1.6280000000000001E-3</v>
      </c>
      <c r="X18" s="148">
        <v>2.3279179999999999</v>
      </c>
      <c r="Y18" s="148">
        <v>0</v>
      </c>
      <c r="Z18" s="107"/>
      <c r="AA18" s="117">
        <v>18</v>
      </c>
      <c r="AB1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 s="118"/>
      <c r="AD18" s="145" t="str">
        <f>REPLACE(INDEX(GroupVertices[Group], MATCH(Vertices[[#This Row],[Vertex]],GroupVertices[Vertex],0)),1,1,"")</f>
        <v>7</v>
      </c>
      <c r="AE18" s="2"/>
      <c r="AI18" s="3"/>
    </row>
    <row r="19" spans="1:35" x14ac:dyDescent="0.3">
      <c r="A19" s="108" t="s">
        <v>306</v>
      </c>
      <c r="B19" s="109"/>
      <c r="C19" s="109"/>
      <c r="D19" s="110"/>
      <c r="E19" s="111"/>
      <c r="F19" s="109"/>
      <c r="G19" s="109"/>
      <c r="H19" s="57" t="s">
        <v>306</v>
      </c>
      <c r="I19" s="112"/>
      <c r="J19" s="112"/>
      <c r="K19" s="57"/>
      <c r="L19" s="113"/>
      <c r="M19" s="114">
        <v>1721.5091552734375</v>
      </c>
      <c r="N19" s="114">
        <v>1936.295654296875</v>
      </c>
      <c r="O19" s="115" t="s">
        <v>782</v>
      </c>
      <c r="P19" s="116"/>
      <c r="Q19" s="116"/>
      <c r="R19" s="147">
        <v>1</v>
      </c>
      <c r="S19" s="106"/>
      <c r="T19" s="106"/>
      <c r="U19" s="148">
        <v>0</v>
      </c>
      <c r="V19" s="148">
        <v>1.0460000000000001E-3</v>
      </c>
      <c r="W19" s="148">
        <v>2.3349999999999998E-3</v>
      </c>
      <c r="X19" s="148">
        <v>0.40768399999999999</v>
      </c>
      <c r="Y19" s="148">
        <v>0</v>
      </c>
      <c r="Z19" s="107"/>
      <c r="AA19" s="117">
        <v>19</v>
      </c>
      <c r="AB1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 s="118"/>
      <c r="AD19" s="145" t="str">
        <f>REPLACE(INDEX(GroupVertices[Group], MATCH(Vertices[[#This Row],[Vertex]],GroupVertices[Vertex],0)),1,1,"")</f>
        <v>4</v>
      </c>
      <c r="AE19" s="2"/>
      <c r="AI19" s="3"/>
    </row>
    <row r="20" spans="1:35" x14ac:dyDescent="0.3">
      <c r="A20" s="108" t="s">
        <v>267</v>
      </c>
      <c r="B20" s="109"/>
      <c r="C20" s="109"/>
      <c r="D20" s="110"/>
      <c r="E20" s="111"/>
      <c r="F20" s="109"/>
      <c r="G20" s="109"/>
      <c r="H20" s="57" t="s">
        <v>685</v>
      </c>
      <c r="I20" s="112"/>
      <c r="J20" s="112"/>
      <c r="K20" s="57"/>
      <c r="L20" s="113"/>
      <c r="M20" s="114">
        <v>5184.76416015625</v>
      </c>
      <c r="N20" s="114">
        <v>3265.517333984375</v>
      </c>
      <c r="O20" s="115" t="s">
        <v>782</v>
      </c>
      <c r="P20" s="116"/>
      <c r="Q20" s="116"/>
      <c r="R20" s="147">
        <v>1</v>
      </c>
      <c r="S20" s="106"/>
      <c r="T20" s="106"/>
      <c r="U20" s="148">
        <v>0</v>
      </c>
      <c r="V20" s="148">
        <v>1.1349999999999999E-3</v>
      </c>
      <c r="W20" s="148">
        <v>2.4940000000000001E-3</v>
      </c>
      <c r="X20" s="148">
        <v>0.399507</v>
      </c>
      <c r="Y20" s="148">
        <v>0</v>
      </c>
      <c r="Z20" s="107"/>
      <c r="AA20" s="117">
        <v>20</v>
      </c>
      <c r="AB2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 s="118"/>
      <c r="AD20" s="145" t="str">
        <f>REPLACE(INDEX(GroupVertices[Group], MATCH(Vertices[[#This Row],[Vertex]],GroupVertices[Vertex],0)),1,1,"")</f>
        <v>5</v>
      </c>
      <c r="AE20" s="2"/>
      <c r="AI20" s="3"/>
    </row>
    <row r="21" spans="1:35" x14ac:dyDescent="0.3">
      <c r="A21" s="108" t="s">
        <v>326</v>
      </c>
      <c r="B21" s="109"/>
      <c r="C21" s="109"/>
      <c r="D21" s="110"/>
      <c r="E21" s="111"/>
      <c r="F21" s="109"/>
      <c r="G21" s="109"/>
      <c r="H21" s="57" t="s">
        <v>326</v>
      </c>
      <c r="I21" s="112"/>
      <c r="J21" s="112"/>
      <c r="K21" s="57"/>
      <c r="L21" s="113"/>
      <c r="M21" s="114">
        <v>1677.7264404296875</v>
      </c>
      <c r="N21" s="114">
        <v>1307.642578125</v>
      </c>
      <c r="O21" s="115" t="s">
        <v>782</v>
      </c>
      <c r="P21" s="116"/>
      <c r="Q21" s="116"/>
      <c r="R21" s="147">
        <v>1</v>
      </c>
      <c r="S21" s="106"/>
      <c r="T21" s="106"/>
      <c r="U21" s="148">
        <v>0</v>
      </c>
      <c r="V21" s="148">
        <v>1.0150000000000001E-3</v>
      </c>
      <c r="W21" s="148">
        <v>8.7900000000000001E-4</v>
      </c>
      <c r="X21" s="148">
        <v>0.446463</v>
      </c>
      <c r="Y21" s="148">
        <v>0</v>
      </c>
      <c r="Z21" s="107"/>
      <c r="AA21" s="117">
        <v>21</v>
      </c>
      <c r="AB2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 s="118"/>
      <c r="AD21" s="145" t="str">
        <f>REPLACE(INDEX(GroupVertices[Group], MATCH(Vertices[[#This Row],[Vertex]],GroupVertices[Vertex],0)),1,1,"")</f>
        <v>4</v>
      </c>
      <c r="AE21" s="2"/>
      <c r="AI21" s="3"/>
    </row>
    <row r="22" spans="1:35" x14ac:dyDescent="0.3">
      <c r="A22" s="108" t="s">
        <v>586</v>
      </c>
      <c r="B22" s="109"/>
      <c r="C22" s="109"/>
      <c r="D22" s="110"/>
      <c r="E22" s="111"/>
      <c r="F22" s="109"/>
      <c r="G22" s="109"/>
      <c r="H22" s="57" t="s">
        <v>586</v>
      </c>
      <c r="I22" s="112"/>
      <c r="J22" s="112"/>
      <c r="K22" s="57"/>
      <c r="L22" s="113"/>
      <c r="M22" s="114">
        <v>3843.32421875</v>
      </c>
      <c r="N22" s="114">
        <v>1143.7340087890625</v>
      </c>
      <c r="O22" s="115" t="s">
        <v>782</v>
      </c>
      <c r="P22" s="116"/>
      <c r="Q22" s="116"/>
      <c r="R22" s="147"/>
      <c r="S22" s="106"/>
      <c r="T22" s="106"/>
      <c r="U22" s="148"/>
      <c r="V22" s="148"/>
      <c r="W22" s="148"/>
      <c r="X22" s="148"/>
      <c r="Y22" s="148"/>
      <c r="Z22" s="107"/>
      <c r="AA22" s="117">
        <v>22</v>
      </c>
      <c r="AB2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 s="118"/>
      <c r="AD22" s="145" t="str">
        <f>REPLACE(INDEX(GroupVertices[Group], MATCH(Vertices[[#This Row],[Vertex]],GroupVertices[Vertex],0)),1,1,"")</f>
        <v>9</v>
      </c>
      <c r="AE22" s="2"/>
      <c r="AI22" s="3"/>
    </row>
    <row r="23" spans="1:35" x14ac:dyDescent="0.3">
      <c r="A23" s="108" t="s">
        <v>211</v>
      </c>
      <c r="B23" s="109"/>
      <c r="C23" s="109"/>
      <c r="D23" s="110"/>
      <c r="E23" s="111"/>
      <c r="F23" s="109"/>
      <c r="G23" s="109"/>
      <c r="H23" s="57" t="s">
        <v>211</v>
      </c>
      <c r="I23" s="112"/>
      <c r="J23" s="112"/>
      <c r="K23" s="57"/>
      <c r="L23" s="113"/>
      <c r="M23" s="114">
        <v>4252.052734375</v>
      </c>
      <c r="N23" s="114">
        <v>9721.408203125</v>
      </c>
      <c r="O23" s="115" t="s">
        <v>782</v>
      </c>
      <c r="P23" s="116"/>
      <c r="Q23" s="116"/>
      <c r="R23" s="147">
        <v>1</v>
      </c>
      <c r="S23" s="106"/>
      <c r="T23" s="106"/>
      <c r="U23" s="148">
        <v>0</v>
      </c>
      <c r="V23" s="148">
        <v>8.7500000000000002E-4</v>
      </c>
      <c r="W23" s="148">
        <v>1.6200000000000001E-4</v>
      </c>
      <c r="X23" s="148">
        <v>0.49934200000000001</v>
      </c>
      <c r="Y23" s="148">
        <v>0</v>
      </c>
      <c r="Z23" s="107"/>
      <c r="AA23" s="117">
        <v>23</v>
      </c>
      <c r="AB2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 s="118"/>
      <c r="AD23" s="145" t="str">
        <f>REPLACE(INDEX(GroupVertices[Group], MATCH(Vertices[[#This Row],[Vertex]],GroupVertices[Vertex],0)),1,1,"")</f>
        <v>7</v>
      </c>
      <c r="AE23" s="2"/>
      <c r="AI23" s="3"/>
    </row>
    <row r="24" spans="1:35" x14ac:dyDescent="0.3">
      <c r="A24" s="108" t="s">
        <v>261</v>
      </c>
      <c r="B24" s="109"/>
      <c r="C24" s="109"/>
      <c r="D24" s="110"/>
      <c r="E24" s="111"/>
      <c r="F24" s="109"/>
      <c r="G24" s="109"/>
      <c r="H24" s="57" t="s">
        <v>261</v>
      </c>
      <c r="I24" s="112"/>
      <c r="J24" s="112"/>
      <c r="K24" s="57"/>
      <c r="L24" s="113"/>
      <c r="M24" s="114">
        <v>5588.8544921875</v>
      </c>
      <c r="N24" s="114">
        <v>6795.18408203125</v>
      </c>
      <c r="O24" s="115" t="s">
        <v>782</v>
      </c>
      <c r="P24" s="116"/>
      <c r="Q24" s="116"/>
      <c r="R24" s="147">
        <v>1</v>
      </c>
      <c r="S24" s="106"/>
      <c r="T24" s="106"/>
      <c r="U24" s="148">
        <v>0</v>
      </c>
      <c r="V24" s="148">
        <v>1.0139999999999999E-3</v>
      </c>
      <c r="W24" s="148">
        <v>7.5000000000000002E-4</v>
      </c>
      <c r="X24" s="148">
        <v>0.43597000000000002</v>
      </c>
      <c r="Y24" s="148">
        <v>0</v>
      </c>
      <c r="Z24" s="107"/>
      <c r="AA24" s="117">
        <v>24</v>
      </c>
      <c r="AB2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 s="118"/>
      <c r="AD24" s="145" t="str">
        <f>REPLACE(INDEX(GroupVertices[Group], MATCH(Vertices[[#This Row],[Vertex]],GroupVertices[Vertex],0)),1,1,"")</f>
        <v>1</v>
      </c>
      <c r="AE24" s="2"/>
      <c r="AI24" s="3"/>
    </row>
    <row r="25" spans="1:35" x14ac:dyDescent="0.3">
      <c r="A25" s="108" t="s">
        <v>324</v>
      </c>
      <c r="B25" s="109"/>
      <c r="C25" s="109"/>
      <c r="D25" s="110"/>
      <c r="E25" s="111"/>
      <c r="F25" s="109"/>
      <c r="G25" s="109"/>
      <c r="H25" s="57" t="s">
        <v>324</v>
      </c>
      <c r="I25" s="112"/>
      <c r="J25" s="112"/>
      <c r="K25" s="57"/>
      <c r="L25" s="113"/>
      <c r="M25" s="114">
        <v>2870.630859375</v>
      </c>
      <c r="N25" s="114">
        <v>2798.1240234375</v>
      </c>
      <c r="O25" s="115" t="s">
        <v>782</v>
      </c>
      <c r="P25" s="116"/>
      <c r="Q25" s="116"/>
      <c r="R25" s="147">
        <v>1</v>
      </c>
      <c r="S25" s="106"/>
      <c r="T25" s="106"/>
      <c r="U25" s="148">
        <v>0</v>
      </c>
      <c r="V25" s="148">
        <v>1.1360000000000001E-3</v>
      </c>
      <c r="W25" s="148">
        <v>4.4010000000000004E-3</v>
      </c>
      <c r="X25" s="148">
        <v>0.37196000000000001</v>
      </c>
      <c r="Y25" s="148">
        <v>0</v>
      </c>
      <c r="Z25" s="107"/>
      <c r="AA25" s="117">
        <v>25</v>
      </c>
      <c r="AB2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5" s="118"/>
      <c r="AD25" s="145" t="str">
        <f>REPLACE(INDEX(GroupVertices[Group], MATCH(Vertices[[#This Row],[Vertex]],GroupVertices[Vertex],0)),1,1,"")</f>
        <v>4</v>
      </c>
      <c r="AE25" s="2"/>
      <c r="AI25" s="3"/>
    </row>
    <row r="26" spans="1:35" x14ac:dyDescent="0.3">
      <c r="A26" s="108" t="s">
        <v>318</v>
      </c>
      <c r="B26" s="109"/>
      <c r="C26" s="109"/>
      <c r="D26" s="110"/>
      <c r="E26" s="111"/>
      <c r="F26" s="109"/>
      <c r="G26" s="109"/>
      <c r="H26" s="57" t="s">
        <v>318</v>
      </c>
      <c r="I26" s="112"/>
      <c r="J26" s="112"/>
      <c r="K26" s="57"/>
      <c r="L26" s="113"/>
      <c r="M26" s="114">
        <v>3943.491943359375</v>
      </c>
      <c r="N26" s="114">
        <v>1546.3404541015625</v>
      </c>
      <c r="O26" s="115" t="s">
        <v>782</v>
      </c>
      <c r="P26" s="116"/>
      <c r="Q26" s="116"/>
      <c r="R26" s="147">
        <v>1</v>
      </c>
      <c r="S26" s="106"/>
      <c r="T26" s="106"/>
      <c r="U26" s="148">
        <v>0</v>
      </c>
      <c r="V26" s="148">
        <v>1.1000000000000001E-3</v>
      </c>
      <c r="W26" s="148">
        <v>3.7160000000000001E-3</v>
      </c>
      <c r="X26" s="148">
        <v>0.38369799999999998</v>
      </c>
      <c r="Y26" s="148">
        <v>0</v>
      </c>
      <c r="Z26" s="107"/>
      <c r="AA26" s="117">
        <v>26</v>
      </c>
      <c r="AB2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6" s="118"/>
      <c r="AD26" s="145" t="str">
        <f>REPLACE(INDEX(GroupVertices[Group], MATCH(Vertices[[#This Row],[Vertex]],GroupVertices[Vertex],0)),1,1,"")</f>
        <v>4</v>
      </c>
      <c r="AE26" s="2"/>
      <c r="AI26" s="3"/>
    </row>
    <row r="27" spans="1:35" x14ac:dyDescent="0.3">
      <c r="A27" s="108" t="s">
        <v>307</v>
      </c>
      <c r="B27" s="109"/>
      <c r="C27" s="109"/>
      <c r="D27" s="110"/>
      <c r="E27" s="111"/>
      <c r="F27" s="109"/>
      <c r="G27" s="109"/>
      <c r="H27" s="57" t="s">
        <v>307</v>
      </c>
      <c r="I27" s="112"/>
      <c r="J27" s="112"/>
      <c r="K27" s="57"/>
      <c r="L27" s="113"/>
      <c r="M27" s="114">
        <v>1718.6004638671875</v>
      </c>
      <c r="N27" s="114">
        <v>1743.885986328125</v>
      </c>
      <c r="O27" s="115" t="s">
        <v>782</v>
      </c>
      <c r="P27" s="116"/>
      <c r="Q27" s="116"/>
      <c r="R27" s="147">
        <v>1</v>
      </c>
      <c r="S27" s="106"/>
      <c r="T27" s="106"/>
      <c r="U27" s="148">
        <v>0</v>
      </c>
      <c r="V27" s="148">
        <v>1.0460000000000001E-3</v>
      </c>
      <c r="W27" s="148">
        <v>2.3349999999999998E-3</v>
      </c>
      <c r="X27" s="148">
        <v>0.40768399999999999</v>
      </c>
      <c r="Y27" s="148">
        <v>0</v>
      </c>
      <c r="Z27" s="107"/>
      <c r="AA27" s="117">
        <v>27</v>
      </c>
      <c r="AB2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7" s="118"/>
      <c r="AD27" s="145" t="str">
        <f>REPLACE(INDEX(GroupVertices[Group], MATCH(Vertices[[#This Row],[Vertex]],GroupVertices[Vertex],0)),1,1,"")</f>
        <v>4</v>
      </c>
      <c r="AE27" s="2"/>
      <c r="AI27" s="3"/>
    </row>
    <row r="28" spans="1:35" x14ac:dyDescent="0.3">
      <c r="A28" s="108" t="s">
        <v>355</v>
      </c>
      <c r="B28" s="109"/>
      <c r="C28" s="109"/>
      <c r="D28" s="110"/>
      <c r="E28" s="111"/>
      <c r="F28" s="109"/>
      <c r="G28" s="109"/>
      <c r="H28" s="57" t="s">
        <v>355</v>
      </c>
      <c r="I28" s="112"/>
      <c r="J28" s="112"/>
      <c r="K28" s="57"/>
      <c r="L28" s="113"/>
      <c r="M28" s="114">
        <v>6355.37255859375</v>
      </c>
      <c r="N28" s="114">
        <v>5540.25830078125</v>
      </c>
      <c r="O28" s="115" t="s">
        <v>782</v>
      </c>
      <c r="P28" s="116"/>
      <c r="Q28" s="116"/>
      <c r="R28" s="147">
        <v>1</v>
      </c>
      <c r="S28" s="106"/>
      <c r="T28" s="106"/>
      <c r="U28" s="148">
        <v>0</v>
      </c>
      <c r="V28" s="148">
        <v>1.1249999999999999E-3</v>
      </c>
      <c r="W28" s="148">
        <v>3.29E-3</v>
      </c>
      <c r="X28" s="148">
        <v>0.38825999999999999</v>
      </c>
      <c r="Y28" s="148">
        <v>0</v>
      </c>
      <c r="Z28" s="107"/>
      <c r="AA28" s="117">
        <v>28</v>
      </c>
      <c r="AB2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8" s="118"/>
      <c r="AD28" s="145" t="str">
        <f>REPLACE(INDEX(GroupVertices[Group], MATCH(Vertices[[#This Row],[Vertex]],GroupVertices[Vertex],0)),1,1,"")</f>
        <v>1</v>
      </c>
      <c r="AE28" s="2"/>
      <c r="AI28" s="3"/>
    </row>
    <row r="29" spans="1:35" x14ac:dyDescent="0.3">
      <c r="A29" s="108" t="s">
        <v>383</v>
      </c>
      <c r="B29" s="109"/>
      <c r="C29" s="109"/>
      <c r="D29" s="110"/>
      <c r="E29" s="111"/>
      <c r="F29" s="109"/>
      <c r="G29" s="109"/>
      <c r="H29" s="57" t="s">
        <v>686</v>
      </c>
      <c r="I29" s="112"/>
      <c r="J29" s="112"/>
      <c r="K29" s="57"/>
      <c r="L29" s="113"/>
      <c r="M29" s="114">
        <v>8269.9853515625</v>
      </c>
      <c r="N29" s="114">
        <v>5275.9541015625</v>
      </c>
      <c r="O29" s="115" t="s">
        <v>782</v>
      </c>
      <c r="P29" s="116"/>
      <c r="Q29" s="116"/>
      <c r="R29" s="147">
        <v>1</v>
      </c>
      <c r="S29" s="106"/>
      <c r="T29" s="106"/>
      <c r="U29" s="148">
        <v>0</v>
      </c>
      <c r="V29" s="148">
        <v>9.5799999999999998E-4</v>
      </c>
      <c r="W29" s="148">
        <v>1.4499999999999999E-3</v>
      </c>
      <c r="X29" s="148">
        <v>0.41689799999999999</v>
      </c>
      <c r="Y29" s="148">
        <v>0</v>
      </c>
      <c r="Z29" s="107"/>
      <c r="AA29" s="117">
        <v>29</v>
      </c>
      <c r="AB2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9" s="118"/>
      <c r="AD29" s="145" t="str">
        <f>REPLACE(INDEX(GroupVertices[Group], MATCH(Vertices[[#This Row],[Vertex]],GroupVertices[Vertex],0)),1,1,"")</f>
        <v>3</v>
      </c>
      <c r="AE29" s="2"/>
      <c r="AI29" s="3"/>
    </row>
    <row r="30" spans="1:35" x14ac:dyDescent="0.3">
      <c r="A30" s="108" t="s">
        <v>382</v>
      </c>
      <c r="B30" s="109"/>
      <c r="C30" s="109"/>
      <c r="D30" s="110"/>
      <c r="E30" s="111"/>
      <c r="F30" s="109"/>
      <c r="G30" s="109"/>
      <c r="H30" s="57" t="s">
        <v>687</v>
      </c>
      <c r="I30" s="112"/>
      <c r="J30" s="112"/>
      <c r="K30" s="57"/>
      <c r="L30" s="113"/>
      <c r="M30" s="114">
        <v>8312.4345703125</v>
      </c>
      <c r="N30" s="114">
        <v>5042.45263671875</v>
      </c>
      <c r="O30" s="115" t="s">
        <v>782</v>
      </c>
      <c r="P30" s="116"/>
      <c r="Q30" s="116"/>
      <c r="R30" s="147">
        <v>1</v>
      </c>
      <c r="S30" s="106"/>
      <c r="T30" s="106"/>
      <c r="U30" s="148">
        <v>0</v>
      </c>
      <c r="V30" s="148">
        <v>9.5799999999999998E-4</v>
      </c>
      <c r="W30" s="148">
        <v>1.4499999999999999E-3</v>
      </c>
      <c r="X30" s="148">
        <v>0.41689799999999999</v>
      </c>
      <c r="Y30" s="148">
        <v>0</v>
      </c>
      <c r="Z30" s="107"/>
      <c r="AA30" s="117">
        <v>30</v>
      </c>
      <c r="AB3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0" s="118"/>
      <c r="AD30" s="145" t="str">
        <f>REPLACE(INDEX(GroupVertices[Group], MATCH(Vertices[[#This Row],[Vertex]],GroupVertices[Vertex],0)),1,1,"")</f>
        <v>3</v>
      </c>
      <c r="AE30" s="2"/>
      <c r="AI30" s="3"/>
    </row>
    <row r="31" spans="1:35" x14ac:dyDescent="0.3">
      <c r="A31" s="108" t="s">
        <v>319</v>
      </c>
      <c r="B31" s="109"/>
      <c r="C31" s="109"/>
      <c r="D31" s="110"/>
      <c r="E31" s="111"/>
      <c r="F31" s="109"/>
      <c r="G31" s="109"/>
      <c r="H31" s="57" t="s">
        <v>319</v>
      </c>
      <c r="I31" s="112"/>
      <c r="J31" s="112"/>
      <c r="K31" s="57"/>
      <c r="L31" s="113"/>
      <c r="M31" s="114">
        <v>4138.81591796875</v>
      </c>
      <c r="N31" s="114">
        <v>1548.5008544921875</v>
      </c>
      <c r="O31" s="115" t="s">
        <v>782</v>
      </c>
      <c r="P31" s="116"/>
      <c r="Q31" s="116"/>
      <c r="R31" s="147">
        <v>1</v>
      </c>
      <c r="S31" s="106"/>
      <c r="T31" s="106"/>
      <c r="U31" s="148">
        <v>0</v>
      </c>
      <c r="V31" s="148">
        <v>1.1000000000000001E-3</v>
      </c>
      <c r="W31" s="148">
        <v>3.7160000000000001E-3</v>
      </c>
      <c r="X31" s="148">
        <v>0.38369799999999998</v>
      </c>
      <c r="Y31" s="148">
        <v>0</v>
      </c>
      <c r="Z31" s="107"/>
      <c r="AA31" s="117">
        <v>31</v>
      </c>
      <c r="AB3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1" s="118"/>
      <c r="AD31" s="145" t="str">
        <f>REPLACE(INDEX(GroupVertices[Group], MATCH(Vertices[[#This Row],[Vertex]],GroupVertices[Vertex],0)),1,1,"")</f>
        <v>4</v>
      </c>
      <c r="AE31" s="2"/>
      <c r="AI31" s="3"/>
    </row>
    <row r="32" spans="1:35" x14ac:dyDescent="0.3">
      <c r="A32" s="108" t="s">
        <v>575</v>
      </c>
      <c r="B32" s="109"/>
      <c r="C32" s="109"/>
      <c r="D32" s="110"/>
      <c r="E32" s="111"/>
      <c r="F32" s="109"/>
      <c r="G32" s="109"/>
      <c r="H32" s="57" t="s">
        <v>575</v>
      </c>
      <c r="I32" s="112"/>
      <c r="J32" s="112"/>
      <c r="K32" s="57"/>
      <c r="L32" s="113"/>
      <c r="M32" s="114">
        <v>7209.12646484375</v>
      </c>
      <c r="N32" s="114">
        <v>6179.091796875</v>
      </c>
      <c r="O32" s="115" t="s">
        <v>782</v>
      </c>
      <c r="P32" s="116"/>
      <c r="Q32" s="116"/>
      <c r="R32" s="147"/>
      <c r="S32" s="106"/>
      <c r="T32" s="106"/>
      <c r="U32" s="148"/>
      <c r="V32" s="148"/>
      <c r="W32" s="148"/>
      <c r="X32" s="148"/>
      <c r="Y32" s="148"/>
      <c r="Z32" s="107"/>
      <c r="AA32" s="117">
        <v>32</v>
      </c>
      <c r="AB3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2" s="118"/>
      <c r="AD32" s="145" t="str">
        <f>REPLACE(INDEX(GroupVertices[Group], MATCH(Vertices[[#This Row],[Vertex]],GroupVertices[Vertex],0)),1,1,"")</f>
        <v>1</v>
      </c>
      <c r="AE32" s="2"/>
      <c r="AI32" s="3"/>
    </row>
    <row r="33" spans="1:35" x14ac:dyDescent="0.3">
      <c r="A33" s="108" t="s">
        <v>227</v>
      </c>
      <c r="B33" s="109"/>
      <c r="C33" s="109"/>
      <c r="D33" s="110"/>
      <c r="E33" s="111"/>
      <c r="F33" s="109"/>
      <c r="G33" s="109"/>
      <c r="H33" s="57" t="s">
        <v>227</v>
      </c>
      <c r="I33" s="112"/>
      <c r="J33" s="112"/>
      <c r="K33" s="57"/>
      <c r="L33" s="113"/>
      <c r="M33" s="114">
        <v>4576.50244140625</v>
      </c>
      <c r="N33" s="114">
        <v>9704.3330078125</v>
      </c>
      <c r="O33" s="115" t="s">
        <v>782</v>
      </c>
      <c r="P33" s="116"/>
      <c r="Q33" s="116"/>
      <c r="R33" s="147">
        <v>1</v>
      </c>
      <c r="S33" s="106"/>
      <c r="T33" s="106"/>
      <c r="U33" s="148">
        <v>0</v>
      </c>
      <c r="V33" s="148">
        <v>8.7500000000000002E-4</v>
      </c>
      <c r="W33" s="148">
        <v>1.6200000000000001E-4</v>
      </c>
      <c r="X33" s="148">
        <v>0.49934200000000001</v>
      </c>
      <c r="Y33" s="148">
        <v>0</v>
      </c>
      <c r="Z33" s="107"/>
      <c r="AA33" s="117">
        <v>33</v>
      </c>
      <c r="AB3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3" s="118"/>
      <c r="AD33" s="145" t="str">
        <f>REPLACE(INDEX(GroupVertices[Group], MATCH(Vertices[[#This Row],[Vertex]],GroupVertices[Vertex],0)),1,1,"")</f>
        <v>7</v>
      </c>
      <c r="AE33" s="2"/>
      <c r="AI33" s="3"/>
    </row>
    <row r="34" spans="1:35" x14ac:dyDescent="0.3">
      <c r="A34" s="108" t="s">
        <v>353</v>
      </c>
      <c r="B34" s="109"/>
      <c r="C34" s="109"/>
      <c r="D34" s="110"/>
      <c r="E34" s="111"/>
      <c r="F34" s="109"/>
      <c r="G34" s="109"/>
      <c r="H34" s="57" t="s">
        <v>353</v>
      </c>
      <c r="I34" s="112"/>
      <c r="J34" s="112"/>
      <c r="K34" s="57"/>
      <c r="L34" s="113"/>
      <c r="M34" s="114">
        <v>6185.708984375</v>
      </c>
      <c r="N34" s="114">
        <v>5755.4267578125</v>
      </c>
      <c r="O34" s="115" t="s">
        <v>782</v>
      </c>
      <c r="P34" s="116"/>
      <c r="Q34" s="116"/>
      <c r="R34" s="147">
        <v>1</v>
      </c>
      <c r="S34" s="106"/>
      <c r="T34" s="106"/>
      <c r="U34" s="148">
        <v>0</v>
      </c>
      <c r="V34" s="148">
        <v>1.1249999999999999E-3</v>
      </c>
      <c r="W34" s="148">
        <v>3.29E-3</v>
      </c>
      <c r="X34" s="148">
        <v>0.38825999999999999</v>
      </c>
      <c r="Y34" s="148">
        <v>0</v>
      </c>
      <c r="Z34" s="107"/>
      <c r="AA34" s="117">
        <v>34</v>
      </c>
      <c r="AB3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4" s="118"/>
      <c r="AD34" s="145" t="str">
        <f>REPLACE(INDEX(GroupVertices[Group], MATCH(Vertices[[#This Row],[Vertex]],GroupVertices[Vertex],0)),1,1,"")</f>
        <v>1</v>
      </c>
      <c r="AE34" s="2"/>
      <c r="AI34" s="3"/>
    </row>
    <row r="35" spans="1:35" x14ac:dyDescent="0.3">
      <c r="A35" s="108" t="s">
        <v>570</v>
      </c>
      <c r="B35" s="109"/>
      <c r="C35" s="109"/>
      <c r="D35" s="110"/>
      <c r="E35" s="111"/>
      <c r="F35" s="109"/>
      <c r="G35" s="109"/>
      <c r="H35" s="57" t="s">
        <v>688</v>
      </c>
      <c r="I35" s="112"/>
      <c r="J35" s="112"/>
      <c r="K35" s="57"/>
      <c r="L35" s="113"/>
      <c r="M35" s="114">
        <v>5138.53271484375</v>
      </c>
      <c r="N35" s="114">
        <v>5160.7900390625</v>
      </c>
      <c r="O35" s="115" t="s">
        <v>782</v>
      </c>
      <c r="P35" s="116"/>
      <c r="Q35" s="116"/>
      <c r="R35" s="147"/>
      <c r="S35" s="106"/>
      <c r="T35" s="106"/>
      <c r="U35" s="148"/>
      <c r="V35" s="148"/>
      <c r="W35" s="148"/>
      <c r="X35" s="148"/>
      <c r="Y35" s="148"/>
      <c r="Z35" s="107"/>
      <c r="AA35" s="117">
        <v>35</v>
      </c>
      <c r="AB3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5" s="118"/>
      <c r="AD35" s="145" t="str">
        <f>REPLACE(INDEX(GroupVertices[Group], MATCH(Vertices[[#This Row],[Vertex]],GroupVertices[Vertex],0)),1,1,"")</f>
        <v>3</v>
      </c>
      <c r="AE35" s="2"/>
      <c r="AI35" s="3"/>
    </row>
    <row r="36" spans="1:35" x14ac:dyDescent="0.3">
      <c r="A36" s="108" t="s">
        <v>585</v>
      </c>
      <c r="B36" s="109"/>
      <c r="C36" s="109"/>
      <c r="D36" s="110"/>
      <c r="E36" s="111"/>
      <c r="F36" s="109"/>
      <c r="G36" s="109"/>
      <c r="H36" s="57" t="s">
        <v>689</v>
      </c>
      <c r="I36" s="112"/>
      <c r="J36" s="112"/>
      <c r="K36" s="57"/>
      <c r="L36" s="113"/>
      <c r="M36" s="114">
        <v>2170.82568359375</v>
      </c>
      <c r="N36" s="114">
        <v>5568.439453125</v>
      </c>
      <c r="O36" s="115" t="s">
        <v>782</v>
      </c>
      <c r="P36" s="116"/>
      <c r="Q36" s="116"/>
      <c r="R36" s="147"/>
      <c r="S36" s="106"/>
      <c r="T36" s="106"/>
      <c r="U36" s="148"/>
      <c r="V36" s="148"/>
      <c r="W36" s="148"/>
      <c r="X36" s="148"/>
      <c r="Y36" s="148"/>
      <c r="Z36" s="107"/>
      <c r="AA36" s="117">
        <v>36</v>
      </c>
      <c r="AB3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6" s="118"/>
      <c r="AD36" s="145" t="str">
        <f>REPLACE(INDEX(GroupVertices[Group], MATCH(Vertices[[#This Row],[Vertex]],GroupVertices[Vertex],0)),1,1,"")</f>
        <v>3</v>
      </c>
      <c r="AE36" s="2"/>
      <c r="AI36" s="3"/>
    </row>
    <row r="37" spans="1:35" x14ac:dyDescent="0.3">
      <c r="A37" s="108" t="s">
        <v>386</v>
      </c>
      <c r="B37" s="109"/>
      <c r="C37" s="109"/>
      <c r="D37" s="110"/>
      <c r="E37" s="111"/>
      <c r="F37" s="109"/>
      <c r="G37" s="109"/>
      <c r="H37" s="57" t="s">
        <v>690</v>
      </c>
      <c r="I37" s="112"/>
      <c r="J37" s="112"/>
      <c r="K37" s="57"/>
      <c r="L37" s="113"/>
      <c r="M37" s="114">
        <v>6300.1796875</v>
      </c>
      <c r="N37" s="114">
        <v>8230.939453125</v>
      </c>
      <c r="O37" s="115" t="s">
        <v>782</v>
      </c>
      <c r="P37" s="116"/>
      <c r="Q37" s="116"/>
      <c r="R37" s="147">
        <v>1</v>
      </c>
      <c r="S37" s="106"/>
      <c r="T37" s="106"/>
      <c r="U37" s="148">
        <v>0</v>
      </c>
      <c r="V37" s="148">
        <v>9.4700000000000003E-4</v>
      </c>
      <c r="W37" s="148">
        <v>4.6999999999999999E-4</v>
      </c>
      <c r="X37" s="148">
        <v>0.42210500000000001</v>
      </c>
      <c r="Y37" s="148">
        <v>0</v>
      </c>
      <c r="Z37" s="107"/>
      <c r="AA37" s="117">
        <v>37</v>
      </c>
      <c r="AB3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7" s="118"/>
      <c r="AD37" s="145" t="str">
        <f>REPLACE(INDEX(GroupVertices[Group], MATCH(Vertices[[#This Row],[Vertex]],GroupVertices[Vertex],0)),1,1,"")</f>
        <v>3</v>
      </c>
      <c r="AE37" s="2"/>
      <c r="AI37" s="3"/>
    </row>
    <row r="38" spans="1:35" x14ac:dyDescent="0.3">
      <c r="A38" s="108" t="s">
        <v>331</v>
      </c>
      <c r="B38" s="109"/>
      <c r="C38" s="109"/>
      <c r="D38" s="110"/>
      <c r="E38" s="111"/>
      <c r="F38" s="109"/>
      <c r="G38" s="109"/>
      <c r="H38" s="57" t="s">
        <v>331</v>
      </c>
      <c r="I38" s="112"/>
      <c r="J38" s="112"/>
      <c r="K38" s="57"/>
      <c r="L38" s="113"/>
      <c r="M38" s="114">
        <v>1834.5731201171875</v>
      </c>
      <c r="N38" s="114">
        <v>3081.147705078125</v>
      </c>
      <c r="O38" s="115" t="s">
        <v>782</v>
      </c>
      <c r="P38" s="116"/>
      <c r="Q38" s="116"/>
      <c r="R38" s="147">
        <v>1</v>
      </c>
      <c r="S38" s="106"/>
      <c r="T38" s="106"/>
      <c r="U38" s="148">
        <v>0</v>
      </c>
      <c r="V38" s="148">
        <v>1.2019999999999999E-3</v>
      </c>
      <c r="W38" s="148">
        <v>2.9559999999999999E-3</v>
      </c>
      <c r="X38" s="148">
        <v>0.43176500000000001</v>
      </c>
      <c r="Y38" s="148">
        <v>0</v>
      </c>
      <c r="Z38" s="107"/>
      <c r="AA38" s="117">
        <v>38</v>
      </c>
      <c r="AB3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8" s="118"/>
      <c r="AD38" s="145" t="str">
        <f>REPLACE(INDEX(GroupVertices[Group], MATCH(Vertices[[#This Row],[Vertex]],GroupVertices[Vertex],0)),1,1,"")</f>
        <v>8</v>
      </c>
      <c r="AE38" s="2"/>
      <c r="AI38" s="3"/>
    </row>
    <row r="39" spans="1:35" x14ac:dyDescent="0.3">
      <c r="A39" s="108" t="s">
        <v>282</v>
      </c>
      <c r="B39" s="109"/>
      <c r="C39" s="109"/>
      <c r="D39" s="110"/>
      <c r="E39" s="111"/>
      <c r="F39" s="109"/>
      <c r="G39" s="109"/>
      <c r="H39" s="57" t="s">
        <v>282</v>
      </c>
      <c r="I39" s="112"/>
      <c r="J39" s="112"/>
      <c r="K39" s="57"/>
      <c r="L39" s="113"/>
      <c r="M39" s="114">
        <v>5243.87548828125</v>
      </c>
      <c r="N39" s="114">
        <v>4642.982421875</v>
      </c>
      <c r="O39" s="115" t="s">
        <v>782</v>
      </c>
      <c r="P39" s="116"/>
      <c r="Q39" s="116"/>
      <c r="R39" s="147">
        <v>1</v>
      </c>
      <c r="S39" s="106"/>
      <c r="T39" s="106"/>
      <c r="U39" s="148">
        <v>0</v>
      </c>
      <c r="V39" s="148">
        <v>1.067E-3</v>
      </c>
      <c r="W39" s="148">
        <v>2.039E-3</v>
      </c>
      <c r="X39" s="148">
        <v>0.38332100000000002</v>
      </c>
      <c r="Y39" s="148">
        <v>0</v>
      </c>
      <c r="Z39" s="107"/>
      <c r="AA39" s="117">
        <v>39</v>
      </c>
      <c r="AB3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39" s="118"/>
      <c r="AD39" s="145" t="str">
        <f>REPLACE(INDEX(GroupVertices[Group], MATCH(Vertices[[#This Row],[Vertex]],GroupVertices[Vertex],0)),1,1,"")</f>
        <v>2</v>
      </c>
      <c r="AE39" s="2"/>
      <c r="AI39" s="3"/>
    </row>
    <row r="40" spans="1:35" x14ac:dyDescent="0.3">
      <c r="A40" s="108" t="s">
        <v>219</v>
      </c>
      <c r="B40" s="109"/>
      <c r="C40" s="109"/>
      <c r="D40" s="110"/>
      <c r="E40" s="111"/>
      <c r="F40" s="109"/>
      <c r="G40" s="109"/>
      <c r="H40" s="57" t="s">
        <v>219</v>
      </c>
      <c r="I40" s="112"/>
      <c r="J40" s="112"/>
      <c r="K40" s="57"/>
      <c r="L40" s="113"/>
      <c r="M40" s="114">
        <v>1779.87255859375</v>
      </c>
      <c r="N40" s="114">
        <v>3275.14794921875</v>
      </c>
      <c r="O40" s="115" t="s">
        <v>782</v>
      </c>
      <c r="P40" s="116"/>
      <c r="Q40" s="116"/>
      <c r="R40" s="147">
        <v>1</v>
      </c>
      <c r="S40" s="106"/>
      <c r="T40" s="106"/>
      <c r="U40" s="148">
        <v>0</v>
      </c>
      <c r="V40" s="148">
        <v>1.2019999999999999E-3</v>
      </c>
      <c r="W40" s="148">
        <v>2.9559999999999999E-3</v>
      </c>
      <c r="X40" s="148">
        <v>0.43176500000000001</v>
      </c>
      <c r="Y40" s="148">
        <v>0</v>
      </c>
      <c r="Z40" s="107"/>
      <c r="AA40" s="117">
        <v>40</v>
      </c>
      <c r="AB4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0" s="118"/>
      <c r="AD40" s="145" t="str">
        <f>REPLACE(INDEX(GroupVertices[Group], MATCH(Vertices[[#This Row],[Vertex]],GroupVertices[Vertex],0)),1,1,"")</f>
        <v>8</v>
      </c>
      <c r="AE40" s="2"/>
      <c r="AI40" s="3"/>
    </row>
    <row r="41" spans="1:35" x14ac:dyDescent="0.3">
      <c r="A41" s="108" t="s">
        <v>194</v>
      </c>
      <c r="B41" s="109"/>
      <c r="C41" s="109"/>
      <c r="D41" s="110"/>
      <c r="E41" s="111"/>
      <c r="F41" s="109"/>
      <c r="G41" s="109"/>
      <c r="H41" s="57" t="s">
        <v>194</v>
      </c>
      <c r="I41" s="112"/>
      <c r="J41" s="112"/>
      <c r="K41" s="57"/>
      <c r="L41" s="113"/>
      <c r="M41" s="114">
        <v>1250.0341796875</v>
      </c>
      <c r="N41" s="114">
        <v>3030.7841796875</v>
      </c>
      <c r="O41" s="115" t="s">
        <v>782</v>
      </c>
      <c r="P41" s="116"/>
      <c r="Q41" s="116"/>
      <c r="R41" s="147">
        <v>2</v>
      </c>
      <c r="S41" s="106"/>
      <c r="T41" s="106"/>
      <c r="U41" s="148">
        <v>211</v>
      </c>
      <c r="V41" s="148">
        <v>1.2049999999999999E-3</v>
      </c>
      <c r="W41" s="148">
        <v>3.0339999999999998E-3</v>
      </c>
      <c r="X41" s="148">
        <v>0.87556100000000003</v>
      </c>
      <c r="Y41" s="148">
        <v>0</v>
      </c>
      <c r="Z41" s="107"/>
      <c r="AA41" s="117">
        <v>41</v>
      </c>
      <c r="AB4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1" s="118"/>
      <c r="AD41" s="145" t="str">
        <f>REPLACE(INDEX(GroupVertices[Group], MATCH(Vertices[[#This Row],[Vertex]],GroupVertices[Vertex],0)),1,1,"")</f>
        <v>8</v>
      </c>
      <c r="AE41" s="2"/>
      <c r="AI41" s="3"/>
    </row>
    <row r="42" spans="1:35" x14ac:dyDescent="0.3">
      <c r="A42" s="108" t="s">
        <v>321</v>
      </c>
      <c r="B42" s="109"/>
      <c r="C42" s="109"/>
      <c r="D42" s="110"/>
      <c r="E42" s="111"/>
      <c r="F42" s="109"/>
      <c r="G42" s="109"/>
      <c r="H42" s="57" t="s">
        <v>321</v>
      </c>
      <c r="I42" s="112"/>
      <c r="J42" s="112"/>
      <c r="K42" s="57"/>
      <c r="L42" s="113"/>
      <c r="M42" s="114">
        <v>3577.711181640625</v>
      </c>
      <c r="N42" s="114">
        <v>2555.601318359375</v>
      </c>
      <c r="O42" s="115" t="s">
        <v>782</v>
      </c>
      <c r="P42" s="116"/>
      <c r="Q42" s="116"/>
      <c r="R42" s="147">
        <v>2</v>
      </c>
      <c r="S42" s="106"/>
      <c r="T42" s="106"/>
      <c r="U42" s="148">
        <v>8.1141769999999998</v>
      </c>
      <c r="V42" s="148">
        <v>1.1950000000000001E-3</v>
      </c>
      <c r="W42" s="148">
        <v>8.1169999999999992E-3</v>
      </c>
      <c r="X42" s="148">
        <v>0.60565800000000003</v>
      </c>
      <c r="Y42" s="148">
        <v>0</v>
      </c>
      <c r="Z42" s="107"/>
      <c r="AA42" s="117">
        <v>42</v>
      </c>
      <c r="AB4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2" s="118"/>
      <c r="AD42" s="145" t="str">
        <f>REPLACE(INDEX(GroupVertices[Group], MATCH(Vertices[[#This Row],[Vertex]],GroupVertices[Vertex],0)),1,1,"")</f>
        <v>4</v>
      </c>
      <c r="AE42" s="2"/>
      <c r="AI42" s="3"/>
    </row>
    <row r="43" spans="1:35" x14ac:dyDescent="0.3">
      <c r="A43" s="108" t="s">
        <v>358</v>
      </c>
      <c r="B43" s="109"/>
      <c r="C43" s="109"/>
      <c r="D43" s="110"/>
      <c r="E43" s="111"/>
      <c r="F43" s="109"/>
      <c r="G43" s="109"/>
      <c r="H43" s="57" t="s">
        <v>358</v>
      </c>
      <c r="I43" s="112"/>
      <c r="J43" s="112"/>
      <c r="K43" s="57"/>
      <c r="L43" s="113"/>
      <c r="M43" s="114">
        <v>2544.99755859375</v>
      </c>
      <c r="N43" s="114">
        <v>5601.65283203125</v>
      </c>
      <c r="O43" s="115" t="s">
        <v>782</v>
      </c>
      <c r="P43" s="116"/>
      <c r="Q43" s="116"/>
      <c r="R43" s="147">
        <v>1</v>
      </c>
      <c r="S43" s="106"/>
      <c r="T43" s="106"/>
      <c r="U43" s="148">
        <v>0</v>
      </c>
      <c r="V43" s="148">
        <v>1.1150000000000001E-3</v>
      </c>
      <c r="W43" s="148">
        <v>3.522E-3</v>
      </c>
      <c r="X43" s="148">
        <v>0.38897900000000002</v>
      </c>
      <c r="Y43" s="148">
        <v>0</v>
      </c>
      <c r="Z43" s="107"/>
      <c r="AA43" s="117">
        <v>43</v>
      </c>
      <c r="AB4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3" s="118"/>
      <c r="AD43" s="145" t="str">
        <f>REPLACE(INDEX(GroupVertices[Group], MATCH(Vertices[[#This Row],[Vertex]],GroupVertices[Vertex],0)),1,1,"")</f>
        <v>6</v>
      </c>
      <c r="AE43" s="2"/>
      <c r="AI43" s="3"/>
    </row>
    <row r="44" spans="1:35" x14ac:dyDescent="0.3">
      <c r="A44" s="108" t="s">
        <v>195</v>
      </c>
      <c r="B44" s="109"/>
      <c r="C44" s="109"/>
      <c r="D44" s="110"/>
      <c r="E44" s="111"/>
      <c r="F44" s="109"/>
      <c r="G44" s="109"/>
      <c r="H44" s="57" t="s">
        <v>195</v>
      </c>
      <c r="I44" s="112"/>
      <c r="J44" s="112"/>
      <c r="K44" s="57"/>
      <c r="L44" s="113"/>
      <c r="M44" s="114">
        <v>4702.96533203125</v>
      </c>
      <c r="N44" s="114">
        <v>9891.5419921875</v>
      </c>
      <c r="O44" s="115" t="s">
        <v>782</v>
      </c>
      <c r="P44" s="116"/>
      <c r="Q44" s="116"/>
      <c r="R44" s="147">
        <v>1</v>
      </c>
      <c r="S44" s="106"/>
      <c r="T44" s="106"/>
      <c r="U44" s="148">
        <v>0</v>
      </c>
      <c r="V44" s="148">
        <v>8.7500000000000002E-4</v>
      </c>
      <c r="W44" s="148">
        <v>1.6200000000000001E-4</v>
      </c>
      <c r="X44" s="148">
        <v>0.49934200000000001</v>
      </c>
      <c r="Y44" s="148">
        <v>0</v>
      </c>
      <c r="Z44" s="107"/>
      <c r="AA44" s="117">
        <v>44</v>
      </c>
      <c r="AB4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4" s="118"/>
      <c r="AD44" s="145" t="str">
        <f>REPLACE(INDEX(GroupVertices[Group], MATCH(Vertices[[#This Row],[Vertex]],GroupVertices[Vertex],0)),1,1,"")</f>
        <v>7</v>
      </c>
      <c r="AE44" s="2"/>
      <c r="AI44" s="3"/>
    </row>
    <row r="45" spans="1:35" x14ac:dyDescent="0.3">
      <c r="A45" s="108" t="s">
        <v>212</v>
      </c>
      <c r="B45" s="109"/>
      <c r="C45" s="109"/>
      <c r="D45" s="110"/>
      <c r="E45" s="111"/>
      <c r="F45" s="109"/>
      <c r="G45" s="109"/>
      <c r="H45" s="57" t="s">
        <v>212</v>
      </c>
      <c r="I45" s="112"/>
      <c r="J45" s="112"/>
      <c r="K45" s="57"/>
      <c r="L45" s="113"/>
      <c r="M45" s="114">
        <v>4553.87646484375</v>
      </c>
      <c r="N45" s="114">
        <v>6849.13671875</v>
      </c>
      <c r="O45" s="115" t="s">
        <v>782</v>
      </c>
      <c r="P45" s="116"/>
      <c r="Q45" s="116"/>
      <c r="R45" s="147">
        <v>3</v>
      </c>
      <c r="S45" s="106"/>
      <c r="T45" s="106"/>
      <c r="U45" s="148">
        <v>264.92217199999999</v>
      </c>
      <c r="V45" s="148">
        <v>1.2049999999999999E-3</v>
      </c>
      <c r="W45" s="148">
        <v>3.738E-3</v>
      </c>
      <c r="X45" s="148">
        <v>0.92870299999999995</v>
      </c>
      <c r="Y45" s="148">
        <v>0.33333333333333331</v>
      </c>
      <c r="Z45" s="107"/>
      <c r="AA45" s="117">
        <v>45</v>
      </c>
      <c r="AB4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5" s="118"/>
      <c r="AD45" s="145" t="str">
        <f>REPLACE(INDEX(GroupVertices[Group], MATCH(Vertices[[#This Row],[Vertex]],GroupVertices[Vertex],0)),1,1,"")</f>
        <v>6</v>
      </c>
      <c r="AE45" s="2"/>
      <c r="AI45" s="3"/>
    </row>
    <row r="46" spans="1:35" x14ac:dyDescent="0.3">
      <c r="A46" s="108" t="s">
        <v>248</v>
      </c>
      <c r="B46" s="109"/>
      <c r="C46" s="109"/>
      <c r="D46" s="110"/>
      <c r="E46" s="111"/>
      <c r="F46" s="109"/>
      <c r="G46" s="109"/>
      <c r="H46" s="57" t="s">
        <v>691</v>
      </c>
      <c r="I46" s="112"/>
      <c r="J46" s="112"/>
      <c r="K46" s="57"/>
      <c r="L46" s="113"/>
      <c r="M46" s="114">
        <v>3237.96533203125</v>
      </c>
      <c r="N46" s="114">
        <v>6228.1533203125</v>
      </c>
      <c r="O46" s="115" t="s">
        <v>782</v>
      </c>
      <c r="P46" s="116"/>
      <c r="Q46" s="116"/>
      <c r="R46" s="147">
        <v>2</v>
      </c>
      <c r="S46" s="106"/>
      <c r="T46" s="106"/>
      <c r="U46" s="148">
        <v>25.442857</v>
      </c>
      <c r="V46" s="148">
        <v>1.214E-3</v>
      </c>
      <c r="W46" s="148">
        <v>3.751E-3</v>
      </c>
      <c r="X46" s="148">
        <v>0.66880300000000004</v>
      </c>
      <c r="Y46" s="148">
        <v>0</v>
      </c>
      <c r="Z46" s="107"/>
      <c r="AA46" s="117">
        <v>46</v>
      </c>
      <c r="AB4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6" s="118"/>
      <c r="AD46" s="145" t="str">
        <f>REPLACE(INDEX(GroupVertices[Group], MATCH(Vertices[[#This Row],[Vertex]],GroupVertices[Vertex],0)),1,1,"")</f>
        <v>1</v>
      </c>
      <c r="AE46" s="2"/>
      <c r="AI46" s="3"/>
    </row>
    <row r="47" spans="1:35" x14ac:dyDescent="0.3">
      <c r="A47" s="108" t="s">
        <v>587</v>
      </c>
      <c r="B47" s="109"/>
      <c r="C47" s="109"/>
      <c r="D47" s="110"/>
      <c r="E47" s="111"/>
      <c r="F47" s="109"/>
      <c r="G47" s="109"/>
      <c r="H47" s="57" t="s">
        <v>587</v>
      </c>
      <c r="I47" s="112"/>
      <c r="J47" s="112"/>
      <c r="K47" s="57"/>
      <c r="L47" s="113"/>
      <c r="M47" s="114">
        <v>5620.9619140625</v>
      </c>
      <c r="N47" s="114">
        <v>1711.6959228515625</v>
      </c>
      <c r="O47" s="115" t="s">
        <v>782</v>
      </c>
      <c r="P47" s="116"/>
      <c r="Q47" s="116"/>
      <c r="R47" s="147"/>
      <c r="S47" s="106"/>
      <c r="T47" s="106"/>
      <c r="U47" s="148"/>
      <c r="V47" s="148"/>
      <c r="W47" s="148"/>
      <c r="X47" s="148"/>
      <c r="Y47" s="148"/>
      <c r="Z47" s="107"/>
      <c r="AA47" s="117">
        <v>47</v>
      </c>
      <c r="AB4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7" s="118"/>
      <c r="AD47" s="145" t="str">
        <f>REPLACE(INDEX(GroupVertices[Group], MATCH(Vertices[[#This Row],[Vertex]],GroupVertices[Vertex],0)),1,1,"")</f>
        <v>4</v>
      </c>
      <c r="AE47" s="2"/>
      <c r="AI47" s="3"/>
    </row>
    <row r="48" spans="1:35" x14ac:dyDescent="0.3">
      <c r="A48" s="108" t="s">
        <v>290</v>
      </c>
      <c r="B48" s="109"/>
      <c r="C48" s="109"/>
      <c r="D48" s="110"/>
      <c r="E48" s="111"/>
      <c r="F48" s="109"/>
      <c r="G48" s="109"/>
      <c r="H48" s="57" t="s">
        <v>290</v>
      </c>
      <c r="I48" s="112"/>
      <c r="J48" s="112"/>
      <c r="K48" s="57"/>
      <c r="L48" s="113"/>
      <c r="M48" s="114">
        <v>4138.56396484375</v>
      </c>
      <c r="N48" s="114">
        <v>6000.68115234375</v>
      </c>
      <c r="O48" s="115" t="s">
        <v>782</v>
      </c>
      <c r="P48" s="116"/>
      <c r="Q48" s="116"/>
      <c r="R48" s="147">
        <v>1</v>
      </c>
      <c r="S48" s="106"/>
      <c r="T48" s="106"/>
      <c r="U48" s="148">
        <v>0</v>
      </c>
      <c r="V48" s="148">
        <v>1.0950000000000001E-3</v>
      </c>
      <c r="W48" s="148">
        <v>1.776E-3</v>
      </c>
      <c r="X48" s="148">
        <v>0.41542699999999999</v>
      </c>
      <c r="Y48" s="148">
        <v>0</v>
      </c>
      <c r="Z48" s="107"/>
      <c r="AA48" s="117">
        <v>48</v>
      </c>
      <c r="AB4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8" s="118"/>
      <c r="AD48" s="145" t="str">
        <f>REPLACE(INDEX(GroupVertices[Group], MATCH(Vertices[[#This Row],[Vertex]],GroupVertices[Vertex],0)),1,1,"")</f>
        <v>11</v>
      </c>
      <c r="AE48" s="2"/>
      <c r="AI48" s="3"/>
    </row>
    <row r="49" spans="1:35" x14ac:dyDescent="0.3">
      <c r="A49" s="108" t="s">
        <v>260</v>
      </c>
      <c r="B49" s="109"/>
      <c r="C49" s="109"/>
      <c r="D49" s="110"/>
      <c r="E49" s="111"/>
      <c r="F49" s="109"/>
      <c r="G49" s="109"/>
      <c r="H49" s="57" t="s">
        <v>260</v>
      </c>
      <c r="I49" s="112"/>
      <c r="J49" s="112"/>
      <c r="K49" s="57"/>
      <c r="L49" s="113"/>
      <c r="M49" s="114">
        <v>3169.005126953125</v>
      </c>
      <c r="N49" s="114">
        <v>5168.38330078125</v>
      </c>
      <c r="O49" s="115" t="s">
        <v>782</v>
      </c>
      <c r="P49" s="116"/>
      <c r="Q49" s="116"/>
      <c r="R49" s="147">
        <v>8</v>
      </c>
      <c r="S49" s="106"/>
      <c r="T49" s="106"/>
      <c r="U49" s="148">
        <v>958.88007300000004</v>
      </c>
      <c r="V49" s="148">
        <v>1.2719999999999999E-3</v>
      </c>
      <c r="W49" s="148">
        <v>4.5279999999999999E-3</v>
      </c>
      <c r="X49" s="148">
        <v>2.5773350000000002</v>
      </c>
      <c r="Y49" s="148">
        <v>0</v>
      </c>
      <c r="Z49" s="107"/>
      <c r="AA49" s="117">
        <v>49</v>
      </c>
      <c r="AB4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49" s="118"/>
      <c r="AD49" s="145" t="str">
        <f>REPLACE(INDEX(GroupVertices[Group], MATCH(Vertices[[#This Row],[Vertex]],GroupVertices[Vertex],0)),1,1,"")</f>
        <v>2</v>
      </c>
      <c r="AE49" s="2"/>
      <c r="AI49" s="3"/>
    </row>
    <row r="50" spans="1:35" x14ac:dyDescent="0.3">
      <c r="A50" s="108" t="s">
        <v>336</v>
      </c>
      <c r="B50" s="109"/>
      <c r="C50" s="109"/>
      <c r="D50" s="110"/>
      <c r="E50" s="111"/>
      <c r="F50" s="109"/>
      <c r="G50" s="109"/>
      <c r="H50" s="57" t="s">
        <v>336</v>
      </c>
      <c r="I50" s="112"/>
      <c r="J50" s="112"/>
      <c r="K50" s="57"/>
      <c r="L50" s="113"/>
      <c r="M50" s="114">
        <v>5478.06884765625</v>
      </c>
      <c r="N50" s="114">
        <v>2466.138671875</v>
      </c>
      <c r="O50" s="115" t="s">
        <v>782</v>
      </c>
      <c r="P50" s="116"/>
      <c r="Q50" s="116"/>
      <c r="R50" s="147">
        <v>1</v>
      </c>
      <c r="S50" s="106"/>
      <c r="T50" s="106"/>
      <c r="U50" s="148">
        <v>0</v>
      </c>
      <c r="V50" s="148">
        <v>1.0579999999999999E-3</v>
      </c>
      <c r="W50" s="148">
        <v>1.292E-3</v>
      </c>
      <c r="X50" s="148">
        <v>0.46053899999999998</v>
      </c>
      <c r="Y50" s="148">
        <v>0</v>
      </c>
      <c r="Z50" s="107"/>
      <c r="AA50" s="117">
        <v>50</v>
      </c>
      <c r="AB5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0" s="118"/>
      <c r="AD50" s="145" t="str">
        <f>REPLACE(INDEX(GroupVertices[Group], MATCH(Vertices[[#This Row],[Vertex]],GroupVertices[Vertex],0)),1,1,"")</f>
        <v>11</v>
      </c>
      <c r="AE50" s="2"/>
      <c r="AI50" s="3"/>
    </row>
    <row r="51" spans="1:35" x14ac:dyDescent="0.3">
      <c r="A51" s="108" t="s">
        <v>185</v>
      </c>
      <c r="B51" s="109"/>
      <c r="C51" s="109"/>
      <c r="D51" s="110"/>
      <c r="E51" s="111"/>
      <c r="F51" s="109"/>
      <c r="G51" s="109"/>
      <c r="H51" s="57" t="s">
        <v>692</v>
      </c>
      <c r="I51" s="112"/>
      <c r="J51" s="112"/>
      <c r="K51" s="57"/>
      <c r="L51" s="113"/>
      <c r="M51" s="114">
        <v>5181.36865234375</v>
      </c>
      <c r="N51" s="114">
        <v>7288.86962890625</v>
      </c>
      <c r="O51" s="115" t="s">
        <v>782</v>
      </c>
      <c r="P51" s="116"/>
      <c r="Q51" s="116"/>
      <c r="R51" s="147">
        <v>2</v>
      </c>
      <c r="S51" s="106"/>
      <c r="T51" s="106"/>
      <c r="U51" s="148">
        <v>104.47579399999999</v>
      </c>
      <c r="V51" s="148">
        <v>1.088E-3</v>
      </c>
      <c r="W51" s="148">
        <v>1.423E-3</v>
      </c>
      <c r="X51" s="148">
        <v>0.68403899999999995</v>
      </c>
      <c r="Y51" s="148">
        <v>0</v>
      </c>
      <c r="Z51" s="107"/>
      <c r="AA51" s="117">
        <v>51</v>
      </c>
      <c r="AB5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1" s="118"/>
      <c r="AD51" s="145" t="str">
        <f>REPLACE(INDEX(GroupVertices[Group], MATCH(Vertices[[#This Row],[Vertex]],GroupVertices[Vertex],0)),1,1,"")</f>
        <v>1</v>
      </c>
      <c r="AE51" s="2"/>
      <c r="AI51" s="3"/>
    </row>
    <row r="52" spans="1:35" x14ac:dyDescent="0.3">
      <c r="A52" s="108" t="s">
        <v>209</v>
      </c>
      <c r="B52" s="109"/>
      <c r="C52" s="109"/>
      <c r="D52" s="110"/>
      <c r="E52" s="111"/>
      <c r="F52" s="109"/>
      <c r="G52" s="109"/>
      <c r="H52" s="57" t="s">
        <v>693</v>
      </c>
      <c r="I52" s="112"/>
      <c r="J52" s="112"/>
      <c r="K52" s="57"/>
      <c r="L52" s="113"/>
      <c r="M52" s="114">
        <v>5427.99658203125</v>
      </c>
      <c r="N52" s="114">
        <v>5124.80908203125</v>
      </c>
      <c r="O52" s="115" t="s">
        <v>782</v>
      </c>
      <c r="P52" s="116"/>
      <c r="Q52" s="116"/>
      <c r="R52" s="147">
        <v>2</v>
      </c>
      <c r="S52" s="106"/>
      <c r="T52" s="106"/>
      <c r="U52" s="148">
        <v>61.795805999999999</v>
      </c>
      <c r="V52" s="148">
        <v>1.175E-3</v>
      </c>
      <c r="W52" s="148">
        <v>2.6519999999999998E-3</v>
      </c>
      <c r="X52" s="148">
        <v>0.64321700000000004</v>
      </c>
      <c r="Y52" s="148">
        <v>0</v>
      </c>
      <c r="Z52" s="107"/>
      <c r="AA52" s="117">
        <v>52</v>
      </c>
      <c r="AB5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2" s="118"/>
      <c r="AD52" s="145" t="str">
        <f>REPLACE(INDEX(GroupVertices[Group], MATCH(Vertices[[#This Row],[Vertex]],GroupVertices[Vertex],0)),1,1,"")</f>
        <v>5</v>
      </c>
      <c r="AE52" s="2"/>
      <c r="AI52" s="3"/>
    </row>
    <row r="53" spans="1:35" x14ac:dyDescent="0.3">
      <c r="A53" s="108" t="s">
        <v>562</v>
      </c>
      <c r="B53" s="109"/>
      <c r="C53" s="109"/>
      <c r="D53" s="110"/>
      <c r="E53" s="111"/>
      <c r="F53" s="109"/>
      <c r="G53" s="109"/>
      <c r="H53" s="57" t="s">
        <v>562</v>
      </c>
      <c r="I53" s="112"/>
      <c r="J53" s="112"/>
      <c r="K53" s="57"/>
      <c r="L53" s="113"/>
      <c r="M53" s="114">
        <v>6075.0009765625</v>
      </c>
      <c r="N53" s="114">
        <v>5630.59912109375</v>
      </c>
      <c r="O53" s="115" t="s">
        <v>782</v>
      </c>
      <c r="P53" s="116"/>
      <c r="Q53" s="116"/>
      <c r="R53" s="147"/>
      <c r="S53" s="106"/>
      <c r="T53" s="106"/>
      <c r="U53" s="148"/>
      <c r="V53" s="148"/>
      <c r="W53" s="148"/>
      <c r="X53" s="148"/>
      <c r="Y53" s="148"/>
      <c r="Z53" s="107"/>
      <c r="AA53" s="117">
        <v>53</v>
      </c>
      <c r="AB5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3" s="118"/>
      <c r="AD53" s="145" t="str">
        <f>REPLACE(INDEX(GroupVertices[Group], MATCH(Vertices[[#This Row],[Vertex]],GroupVertices[Vertex],0)),1,1,"")</f>
        <v>10</v>
      </c>
      <c r="AE53" s="2"/>
      <c r="AI53" s="3"/>
    </row>
    <row r="54" spans="1:35" x14ac:dyDescent="0.3">
      <c r="A54" s="108" t="s">
        <v>310</v>
      </c>
      <c r="B54" s="109"/>
      <c r="C54" s="109"/>
      <c r="D54" s="110"/>
      <c r="E54" s="111"/>
      <c r="F54" s="109"/>
      <c r="G54" s="109"/>
      <c r="H54" s="57" t="s">
        <v>310</v>
      </c>
      <c r="I54" s="112"/>
      <c r="J54" s="112"/>
      <c r="K54" s="57"/>
      <c r="L54" s="113"/>
      <c r="M54" s="114">
        <v>2512.80517578125</v>
      </c>
      <c r="N54" s="114">
        <v>3399.136474609375</v>
      </c>
      <c r="O54" s="115" t="s">
        <v>782</v>
      </c>
      <c r="P54" s="116"/>
      <c r="Q54" s="116"/>
      <c r="R54" s="147">
        <v>2</v>
      </c>
      <c r="S54" s="106"/>
      <c r="T54" s="106"/>
      <c r="U54" s="148">
        <v>120.50436500000001</v>
      </c>
      <c r="V54" s="148">
        <v>1.2080000000000001E-3</v>
      </c>
      <c r="W54" s="148">
        <v>4.4980000000000003E-3</v>
      </c>
      <c r="X54" s="148">
        <v>0.64372600000000002</v>
      </c>
      <c r="Y54" s="148">
        <v>0</v>
      </c>
      <c r="Z54" s="107"/>
      <c r="AA54" s="117">
        <v>54</v>
      </c>
      <c r="AB5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4" s="118"/>
      <c r="AD54" s="145" t="str">
        <f>REPLACE(INDEX(GroupVertices[Group], MATCH(Vertices[[#This Row],[Vertex]],GroupVertices[Vertex],0)),1,1,"")</f>
        <v>4</v>
      </c>
      <c r="AE54" s="2"/>
      <c r="AI54" s="3"/>
    </row>
    <row r="55" spans="1:35" x14ac:dyDescent="0.3">
      <c r="A55" s="108" t="s">
        <v>210</v>
      </c>
      <c r="B55" s="109"/>
      <c r="C55" s="109"/>
      <c r="D55" s="110">
        <v>5</v>
      </c>
      <c r="E55" s="111"/>
      <c r="F55" s="109"/>
      <c r="G55" s="109"/>
      <c r="H55" s="57" t="s">
        <v>210</v>
      </c>
      <c r="I55" s="112"/>
      <c r="J55" s="112"/>
      <c r="K55" s="57"/>
      <c r="L55" s="113"/>
      <c r="M55" s="114">
        <v>4800.47119140625</v>
      </c>
      <c r="N55" s="114">
        <v>4364.84375</v>
      </c>
      <c r="O55" s="115" t="s">
        <v>782</v>
      </c>
      <c r="P55" s="116"/>
      <c r="Q55" s="116"/>
      <c r="R55" s="147">
        <v>10</v>
      </c>
      <c r="S55" s="106"/>
      <c r="T55" s="106"/>
      <c r="U55" s="148">
        <v>1831.8707179999999</v>
      </c>
      <c r="V55" s="148">
        <v>1.4530000000000001E-3</v>
      </c>
      <c r="W55" s="148">
        <v>1.2989000000000001E-2</v>
      </c>
      <c r="X55" s="148">
        <v>2.8484850000000002</v>
      </c>
      <c r="Y55" s="148">
        <v>0</v>
      </c>
      <c r="Z55" s="107"/>
      <c r="AA55" s="117">
        <v>55</v>
      </c>
      <c r="AB5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5" s="118"/>
      <c r="AD55" s="145" t="str">
        <f>REPLACE(INDEX(GroupVertices[Group], MATCH(Vertices[[#This Row],[Vertex]],GroupVertices[Vertex],0)),1,1,"")</f>
        <v>5</v>
      </c>
      <c r="AE55" s="2"/>
      <c r="AI55" s="3"/>
    </row>
    <row r="56" spans="1:35" x14ac:dyDescent="0.3">
      <c r="A56" s="108" t="s">
        <v>240</v>
      </c>
      <c r="B56" s="109"/>
      <c r="C56" s="109"/>
      <c r="D56" s="110"/>
      <c r="E56" s="111"/>
      <c r="F56" s="109"/>
      <c r="G56" s="109"/>
      <c r="H56" s="57" t="s">
        <v>240</v>
      </c>
      <c r="I56" s="112"/>
      <c r="J56" s="112"/>
      <c r="K56" s="57"/>
      <c r="L56" s="113"/>
      <c r="M56" s="114">
        <v>5292.66650390625</v>
      </c>
      <c r="N56" s="114">
        <v>7585.62353515625</v>
      </c>
      <c r="O56" s="115" t="s">
        <v>782</v>
      </c>
      <c r="P56" s="116"/>
      <c r="Q56" s="116"/>
      <c r="R56" s="147">
        <v>2</v>
      </c>
      <c r="S56" s="106"/>
      <c r="T56" s="106"/>
      <c r="U56" s="148">
        <v>86.693798000000001</v>
      </c>
      <c r="V56" s="148">
        <v>1.0870000000000001E-3</v>
      </c>
      <c r="W56" s="148">
        <v>9.1100000000000003E-4</v>
      </c>
      <c r="X56" s="148">
        <v>0.71848100000000004</v>
      </c>
      <c r="Y56" s="148">
        <v>0</v>
      </c>
      <c r="Z56" s="107"/>
      <c r="AA56" s="117">
        <v>56</v>
      </c>
      <c r="AB5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6" s="118"/>
      <c r="AD56" s="145" t="str">
        <f>REPLACE(INDEX(GroupVertices[Group], MATCH(Vertices[[#This Row],[Vertex]],GroupVertices[Vertex],0)),1,1,"")</f>
        <v>2</v>
      </c>
      <c r="AE56" s="2"/>
      <c r="AI56" s="3"/>
    </row>
    <row r="57" spans="1:35" x14ac:dyDescent="0.3">
      <c r="A57" s="108" t="s">
        <v>250</v>
      </c>
      <c r="B57" s="109"/>
      <c r="C57" s="109"/>
      <c r="D57" s="110"/>
      <c r="E57" s="111"/>
      <c r="F57" s="109"/>
      <c r="G57" s="109"/>
      <c r="H57" s="57" t="s">
        <v>694</v>
      </c>
      <c r="I57" s="112"/>
      <c r="J57" s="112"/>
      <c r="K57" s="57"/>
      <c r="L57" s="113"/>
      <c r="M57" s="114">
        <v>4281.091796875</v>
      </c>
      <c r="N57" s="114">
        <v>4601.6025390625</v>
      </c>
      <c r="O57" s="115" t="s">
        <v>782</v>
      </c>
      <c r="P57" s="116"/>
      <c r="Q57" s="116"/>
      <c r="R57" s="147">
        <v>6</v>
      </c>
      <c r="S57" s="106"/>
      <c r="T57" s="106"/>
      <c r="U57" s="148">
        <v>1134.8953409999999</v>
      </c>
      <c r="V57" s="148">
        <v>1.4469999999999999E-3</v>
      </c>
      <c r="W57" s="148">
        <v>1.9573E-2</v>
      </c>
      <c r="X57" s="148">
        <v>1.555707</v>
      </c>
      <c r="Y57" s="148">
        <v>0</v>
      </c>
      <c r="Z57" s="107"/>
      <c r="AA57" s="117">
        <v>57</v>
      </c>
      <c r="AB5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7" s="118"/>
      <c r="AD57" s="145" t="str">
        <f>REPLACE(INDEX(GroupVertices[Group], MATCH(Vertices[[#This Row],[Vertex]],GroupVertices[Vertex],0)),1,1,"")</f>
        <v>1</v>
      </c>
      <c r="AE57" s="2"/>
      <c r="AI57" s="3"/>
    </row>
    <row r="58" spans="1:35" x14ac:dyDescent="0.3">
      <c r="A58" s="108" t="s">
        <v>275</v>
      </c>
      <c r="B58" s="109"/>
      <c r="C58" s="109"/>
      <c r="D58" s="110"/>
      <c r="E58" s="111"/>
      <c r="F58" s="109"/>
      <c r="G58" s="109"/>
      <c r="H58" s="57" t="s">
        <v>275</v>
      </c>
      <c r="I58" s="112"/>
      <c r="J58" s="112"/>
      <c r="K58" s="57"/>
      <c r="L58" s="113"/>
      <c r="M58" s="114">
        <v>3259.134521484375</v>
      </c>
      <c r="N58" s="114">
        <v>6384.54931640625</v>
      </c>
      <c r="O58" s="115" t="s">
        <v>782</v>
      </c>
      <c r="P58" s="116"/>
      <c r="Q58" s="116"/>
      <c r="R58" s="147">
        <v>2</v>
      </c>
      <c r="S58" s="106"/>
      <c r="T58" s="106"/>
      <c r="U58" s="148">
        <v>153.83919900000001</v>
      </c>
      <c r="V58" s="148">
        <v>1.214E-3</v>
      </c>
      <c r="W58" s="148">
        <v>4.9049999999999996E-3</v>
      </c>
      <c r="X58" s="148">
        <v>0.66358600000000001</v>
      </c>
      <c r="Y58" s="148">
        <v>0</v>
      </c>
      <c r="Z58" s="107"/>
      <c r="AA58" s="117">
        <v>58</v>
      </c>
      <c r="AB5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8" s="118"/>
      <c r="AD58" s="145" t="str">
        <f>REPLACE(INDEX(GroupVertices[Group], MATCH(Vertices[[#This Row],[Vertex]],GroupVertices[Vertex],0)),1,1,"")</f>
        <v>6</v>
      </c>
      <c r="AE58" s="2"/>
      <c r="AI58" s="3"/>
    </row>
    <row r="59" spans="1:35" x14ac:dyDescent="0.3">
      <c r="A59" s="108" t="s">
        <v>235</v>
      </c>
      <c r="B59" s="109"/>
      <c r="C59" s="109"/>
      <c r="D59" s="110"/>
      <c r="E59" s="111"/>
      <c r="F59" s="109"/>
      <c r="G59" s="109"/>
      <c r="H59" s="57" t="s">
        <v>235</v>
      </c>
      <c r="I59" s="112"/>
      <c r="J59" s="112"/>
      <c r="K59" s="57"/>
      <c r="L59" s="113"/>
      <c r="M59" s="114">
        <v>1812.2806396484375</v>
      </c>
      <c r="N59" s="114">
        <v>3789.24951171875</v>
      </c>
      <c r="O59" s="115" t="s">
        <v>782</v>
      </c>
      <c r="P59" s="116"/>
      <c r="Q59" s="116"/>
      <c r="R59" s="147">
        <v>2</v>
      </c>
      <c r="S59" s="106"/>
      <c r="T59" s="106"/>
      <c r="U59" s="148">
        <v>50.923810000000003</v>
      </c>
      <c r="V59" s="148">
        <v>1.2179999999999999E-3</v>
      </c>
      <c r="W59" s="148">
        <v>3.3899999999999998E-3</v>
      </c>
      <c r="X59" s="148">
        <v>0.72718000000000005</v>
      </c>
      <c r="Y59" s="148">
        <v>0</v>
      </c>
      <c r="Z59" s="107"/>
      <c r="AA59" s="117">
        <v>59</v>
      </c>
      <c r="AB5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59" s="118"/>
      <c r="AD59" s="145" t="str">
        <f>REPLACE(INDEX(GroupVertices[Group], MATCH(Vertices[[#This Row],[Vertex]],GroupVertices[Vertex],0)),1,1,"")</f>
        <v>9</v>
      </c>
      <c r="AE59" s="2"/>
      <c r="AI59" s="3"/>
    </row>
    <row r="60" spans="1:35" x14ac:dyDescent="0.3">
      <c r="A60" s="108" t="s">
        <v>568</v>
      </c>
      <c r="B60" s="109"/>
      <c r="C60" s="109"/>
      <c r="D60" s="110"/>
      <c r="E60" s="111"/>
      <c r="F60" s="109"/>
      <c r="G60" s="109"/>
      <c r="H60" s="57" t="s">
        <v>568</v>
      </c>
      <c r="I60" s="112"/>
      <c r="J60" s="112"/>
      <c r="K60" s="57"/>
      <c r="L60" s="113"/>
      <c r="M60" s="114">
        <v>4976.802734375</v>
      </c>
      <c r="N60" s="114">
        <v>6102.3056640625</v>
      </c>
      <c r="O60" s="115" t="s">
        <v>782</v>
      </c>
      <c r="P60" s="116"/>
      <c r="Q60" s="116"/>
      <c r="R60" s="147"/>
      <c r="S60" s="106"/>
      <c r="T60" s="106"/>
      <c r="U60" s="148"/>
      <c r="V60" s="148"/>
      <c r="W60" s="148"/>
      <c r="X60" s="148"/>
      <c r="Y60" s="148"/>
      <c r="Z60" s="107"/>
      <c r="AA60" s="117">
        <v>60</v>
      </c>
      <c r="AB6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0" s="118"/>
      <c r="AD60" s="145" t="str">
        <f>REPLACE(INDEX(GroupVertices[Group], MATCH(Vertices[[#This Row],[Vertex]],GroupVertices[Vertex],0)),1,1,"")</f>
        <v>3</v>
      </c>
      <c r="AE60" s="2"/>
      <c r="AI60" s="3"/>
    </row>
    <row r="61" spans="1:35" x14ac:dyDescent="0.3">
      <c r="A61" s="108" t="s">
        <v>567</v>
      </c>
      <c r="B61" s="109"/>
      <c r="C61" s="109"/>
      <c r="D61" s="110"/>
      <c r="E61" s="111"/>
      <c r="F61" s="109"/>
      <c r="G61" s="109"/>
      <c r="H61" s="57" t="s">
        <v>567</v>
      </c>
      <c r="I61" s="112"/>
      <c r="J61" s="112"/>
      <c r="K61" s="57"/>
      <c r="L61" s="113"/>
      <c r="M61" s="114">
        <v>5845.00048828125</v>
      </c>
      <c r="N61" s="114">
        <v>6429.77880859375</v>
      </c>
      <c r="O61" s="115" t="s">
        <v>782</v>
      </c>
      <c r="P61" s="116"/>
      <c r="Q61" s="116"/>
      <c r="R61" s="147"/>
      <c r="S61" s="106"/>
      <c r="T61" s="106"/>
      <c r="U61" s="148"/>
      <c r="V61" s="148"/>
      <c r="W61" s="148"/>
      <c r="X61" s="148"/>
      <c r="Y61" s="148"/>
      <c r="Z61" s="107"/>
      <c r="AA61" s="117">
        <v>61</v>
      </c>
      <c r="AB6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1" s="118"/>
      <c r="AD61" s="145" t="str">
        <f>REPLACE(INDEX(GroupVertices[Group], MATCH(Vertices[[#This Row],[Vertex]],GroupVertices[Vertex],0)),1,1,"")</f>
        <v>3</v>
      </c>
      <c r="AE61" s="2"/>
      <c r="AI61" s="3"/>
    </row>
    <row r="62" spans="1:35" x14ac:dyDescent="0.3">
      <c r="A62" s="108" t="s">
        <v>271</v>
      </c>
      <c r="B62" s="109"/>
      <c r="C62" s="109"/>
      <c r="D62" s="110"/>
      <c r="E62" s="111"/>
      <c r="F62" s="109"/>
      <c r="G62" s="109"/>
      <c r="H62" s="57" t="s">
        <v>695</v>
      </c>
      <c r="I62" s="112"/>
      <c r="J62" s="112"/>
      <c r="K62" s="57"/>
      <c r="L62" s="113"/>
      <c r="M62" s="114">
        <v>5433.181640625</v>
      </c>
      <c r="N62" s="114">
        <v>3659.29736328125</v>
      </c>
      <c r="O62" s="115" t="s">
        <v>782</v>
      </c>
      <c r="P62" s="116"/>
      <c r="Q62" s="116"/>
      <c r="R62" s="147">
        <v>1</v>
      </c>
      <c r="S62" s="106"/>
      <c r="T62" s="106"/>
      <c r="U62" s="148">
        <v>0</v>
      </c>
      <c r="V62" s="148">
        <v>1.1349999999999999E-3</v>
      </c>
      <c r="W62" s="148">
        <v>2.4940000000000001E-3</v>
      </c>
      <c r="X62" s="148">
        <v>0.399507</v>
      </c>
      <c r="Y62" s="148">
        <v>0</v>
      </c>
      <c r="Z62" s="107"/>
      <c r="AA62" s="117">
        <v>62</v>
      </c>
      <c r="AB6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2" s="118"/>
      <c r="AD62" s="145" t="str">
        <f>REPLACE(INDEX(GroupVertices[Group], MATCH(Vertices[[#This Row],[Vertex]],GroupVertices[Vertex],0)),1,1,"")</f>
        <v>5</v>
      </c>
      <c r="AE62" s="2"/>
      <c r="AI62" s="3"/>
    </row>
    <row r="63" spans="1:35" x14ac:dyDescent="0.3">
      <c r="A63" s="108" t="s">
        <v>563</v>
      </c>
      <c r="B63" s="109"/>
      <c r="C63" s="109"/>
      <c r="D63" s="110"/>
      <c r="E63" s="111"/>
      <c r="F63" s="109"/>
      <c r="G63" s="109"/>
      <c r="H63" s="57" t="s">
        <v>696</v>
      </c>
      <c r="I63" s="112"/>
      <c r="J63" s="112"/>
      <c r="K63" s="57"/>
      <c r="L63" s="113"/>
      <c r="M63" s="114">
        <v>2830.41943359375</v>
      </c>
      <c r="N63" s="114">
        <v>4727.7275390625</v>
      </c>
      <c r="O63" s="115" t="s">
        <v>782</v>
      </c>
      <c r="P63" s="116"/>
      <c r="Q63" s="116"/>
      <c r="R63" s="147"/>
      <c r="S63" s="106"/>
      <c r="T63" s="106"/>
      <c r="U63" s="148"/>
      <c r="V63" s="148"/>
      <c r="W63" s="148"/>
      <c r="X63" s="148"/>
      <c r="Y63" s="148"/>
      <c r="Z63" s="107"/>
      <c r="AA63" s="117">
        <v>63</v>
      </c>
      <c r="AB6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3" s="118"/>
      <c r="AD63" s="145" t="str">
        <f>REPLACE(INDEX(GroupVertices[Group], MATCH(Vertices[[#This Row],[Vertex]],GroupVertices[Vertex],0)),1,1,"")</f>
        <v>9</v>
      </c>
      <c r="AE63" s="2"/>
      <c r="AI63" s="3"/>
    </row>
    <row r="64" spans="1:35" x14ac:dyDescent="0.3">
      <c r="A64" s="108" t="s">
        <v>238</v>
      </c>
      <c r="B64" s="109"/>
      <c r="C64" s="109"/>
      <c r="D64" s="110">
        <v>5</v>
      </c>
      <c r="E64" s="111"/>
      <c r="F64" s="109"/>
      <c r="G64" s="109"/>
      <c r="H64" s="57" t="s">
        <v>697</v>
      </c>
      <c r="I64" s="112"/>
      <c r="J64" s="112"/>
      <c r="K64" s="57"/>
      <c r="L64" s="113"/>
      <c r="M64" s="114">
        <v>4562.60595703125</v>
      </c>
      <c r="N64" s="114">
        <v>4151.70263671875</v>
      </c>
      <c r="O64" s="115" t="s">
        <v>782</v>
      </c>
      <c r="P64" s="116"/>
      <c r="Q64" s="116"/>
      <c r="R64" s="147">
        <v>13</v>
      </c>
      <c r="S64" s="106"/>
      <c r="T64" s="106"/>
      <c r="U64" s="148">
        <v>1872.504606</v>
      </c>
      <c r="V64" s="148">
        <v>1.493E-3</v>
      </c>
      <c r="W64" s="148">
        <v>1.5549E-2</v>
      </c>
      <c r="X64" s="148">
        <v>3.8159860000000001</v>
      </c>
      <c r="Y64" s="148">
        <v>0</v>
      </c>
      <c r="Z64" s="107"/>
      <c r="AA64" s="117">
        <v>64</v>
      </c>
      <c r="AB6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4" s="118"/>
      <c r="AD64" s="145" t="str">
        <f>REPLACE(INDEX(GroupVertices[Group], MATCH(Vertices[[#This Row],[Vertex]],GroupVertices[Vertex],0)),1,1,"")</f>
        <v>5</v>
      </c>
      <c r="AE64" s="2"/>
      <c r="AI64" s="3"/>
    </row>
    <row r="65" spans="1:35" x14ac:dyDescent="0.3">
      <c r="A65" s="108" t="s">
        <v>236</v>
      </c>
      <c r="B65" s="109"/>
      <c r="C65" s="109"/>
      <c r="D65" s="110"/>
      <c r="E65" s="111"/>
      <c r="F65" s="109"/>
      <c r="G65" s="109"/>
      <c r="H65" s="57" t="s">
        <v>236</v>
      </c>
      <c r="I65" s="112"/>
      <c r="J65" s="112"/>
      <c r="K65" s="57"/>
      <c r="L65" s="113"/>
      <c r="M65" s="114">
        <v>1184.27099609375</v>
      </c>
      <c r="N65" s="114">
        <v>3538.392333984375</v>
      </c>
      <c r="O65" s="115" t="s">
        <v>782</v>
      </c>
      <c r="P65" s="116"/>
      <c r="Q65" s="116"/>
      <c r="R65" s="147">
        <v>2</v>
      </c>
      <c r="S65" s="106"/>
      <c r="T65" s="106"/>
      <c r="U65" s="148">
        <v>211</v>
      </c>
      <c r="V65" s="148">
        <v>1.2049999999999999E-3</v>
      </c>
      <c r="W65" s="148">
        <v>3.0339999999999998E-3</v>
      </c>
      <c r="X65" s="148">
        <v>0.87556100000000003</v>
      </c>
      <c r="Y65" s="148">
        <v>0</v>
      </c>
      <c r="Z65" s="107"/>
      <c r="AA65" s="117">
        <v>65</v>
      </c>
      <c r="AB6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5" s="118"/>
      <c r="AD65" s="145" t="str">
        <f>REPLACE(INDEX(GroupVertices[Group], MATCH(Vertices[[#This Row],[Vertex]],GroupVertices[Vertex],0)),1,1,"")</f>
        <v>8</v>
      </c>
      <c r="AE65" s="2"/>
      <c r="AI65" s="3"/>
    </row>
    <row r="66" spans="1:35" x14ac:dyDescent="0.3">
      <c r="A66" s="108" t="s">
        <v>579</v>
      </c>
      <c r="B66" s="109"/>
      <c r="C66" s="109"/>
      <c r="D66" s="110"/>
      <c r="E66" s="111"/>
      <c r="F66" s="109"/>
      <c r="G66" s="109"/>
      <c r="H66" s="57" t="s">
        <v>579</v>
      </c>
      <c r="I66" s="112"/>
      <c r="J66" s="112"/>
      <c r="K66" s="57"/>
      <c r="L66" s="113"/>
      <c r="M66" s="114">
        <v>7128.05615234375</v>
      </c>
      <c r="N66" s="114">
        <v>6384.91748046875</v>
      </c>
      <c r="O66" s="115" t="s">
        <v>782</v>
      </c>
      <c r="P66" s="116"/>
      <c r="Q66" s="116"/>
      <c r="R66" s="147"/>
      <c r="S66" s="106"/>
      <c r="T66" s="106"/>
      <c r="U66" s="148"/>
      <c r="V66" s="148"/>
      <c r="W66" s="148"/>
      <c r="X66" s="148"/>
      <c r="Y66" s="148"/>
      <c r="Z66" s="107"/>
      <c r="AA66" s="117">
        <v>66</v>
      </c>
      <c r="AB6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6" s="118"/>
      <c r="AD66" s="145" t="str">
        <f>REPLACE(INDEX(GroupVertices[Group], MATCH(Vertices[[#This Row],[Vertex]],GroupVertices[Vertex],0)),1,1,"")</f>
        <v>1</v>
      </c>
      <c r="AE66" s="2"/>
      <c r="AI66" s="3"/>
    </row>
    <row r="67" spans="1:35" x14ac:dyDescent="0.3">
      <c r="A67" s="108" t="s">
        <v>578</v>
      </c>
      <c r="B67" s="109"/>
      <c r="C67" s="109"/>
      <c r="D67" s="110"/>
      <c r="E67" s="111"/>
      <c r="F67" s="109"/>
      <c r="G67" s="109"/>
      <c r="H67" s="57" t="s">
        <v>578</v>
      </c>
      <c r="I67" s="112"/>
      <c r="J67" s="112"/>
      <c r="K67" s="57"/>
      <c r="L67" s="113"/>
      <c r="M67" s="114">
        <v>7319.07373046875</v>
      </c>
      <c r="N67" s="114">
        <v>6024.96923828125</v>
      </c>
      <c r="O67" s="115" t="s">
        <v>782</v>
      </c>
      <c r="P67" s="116"/>
      <c r="Q67" s="116"/>
      <c r="R67" s="147"/>
      <c r="S67" s="106"/>
      <c r="T67" s="106"/>
      <c r="U67" s="148"/>
      <c r="V67" s="148"/>
      <c r="W67" s="148"/>
      <c r="X67" s="148"/>
      <c r="Y67" s="148"/>
      <c r="Z67" s="107"/>
      <c r="AA67" s="117">
        <v>67</v>
      </c>
      <c r="AB6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7" s="118"/>
      <c r="AD67" s="145" t="str">
        <f>REPLACE(INDEX(GroupVertices[Group], MATCH(Vertices[[#This Row],[Vertex]],GroupVertices[Vertex],0)),1,1,"")</f>
        <v>1</v>
      </c>
      <c r="AE67" s="2"/>
      <c r="AI67" s="3"/>
    </row>
    <row r="68" spans="1:35" x14ac:dyDescent="0.3">
      <c r="A68" s="108" t="s">
        <v>577</v>
      </c>
      <c r="B68" s="109"/>
      <c r="C68" s="109"/>
      <c r="D68" s="110"/>
      <c r="E68" s="111"/>
      <c r="F68" s="109"/>
      <c r="G68" s="109"/>
      <c r="H68" s="57" t="s">
        <v>577</v>
      </c>
      <c r="I68" s="112"/>
      <c r="J68" s="112"/>
      <c r="K68" s="57"/>
      <c r="L68" s="113"/>
      <c r="M68" s="114">
        <v>7022.8525390625</v>
      </c>
      <c r="N68" s="114">
        <v>6224.43310546875</v>
      </c>
      <c r="O68" s="115" t="s">
        <v>782</v>
      </c>
      <c r="P68" s="116"/>
      <c r="Q68" s="116"/>
      <c r="R68" s="147"/>
      <c r="S68" s="106"/>
      <c r="T68" s="106"/>
      <c r="U68" s="148"/>
      <c r="V68" s="148"/>
      <c r="W68" s="148"/>
      <c r="X68" s="148"/>
      <c r="Y68" s="148"/>
      <c r="Z68" s="107"/>
      <c r="AA68" s="117">
        <v>68</v>
      </c>
      <c r="AB6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8" s="118"/>
      <c r="AD68" s="145" t="str">
        <f>REPLACE(INDEX(GroupVertices[Group], MATCH(Vertices[[#This Row],[Vertex]],GroupVertices[Vertex],0)),1,1,"")</f>
        <v>1</v>
      </c>
      <c r="AE68" s="2"/>
      <c r="AI68" s="3"/>
    </row>
    <row r="69" spans="1:35" x14ac:dyDescent="0.3">
      <c r="A69" s="108" t="s">
        <v>576</v>
      </c>
      <c r="B69" s="109"/>
      <c r="C69" s="109"/>
      <c r="D69" s="110"/>
      <c r="E69" s="111"/>
      <c r="F69" s="109"/>
      <c r="G69" s="109"/>
      <c r="H69" s="57" t="s">
        <v>576</v>
      </c>
      <c r="I69" s="112"/>
      <c r="J69" s="112"/>
      <c r="K69" s="57"/>
      <c r="L69" s="113"/>
      <c r="M69" s="114">
        <v>6907.84521484375</v>
      </c>
      <c r="N69" s="114">
        <v>6399.6875</v>
      </c>
      <c r="O69" s="115" t="s">
        <v>782</v>
      </c>
      <c r="P69" s="116"/>
      <c r="Q69" s="116"/>
      <c r="R69" s="147"/>
      <c r="S69" s="106"/>
      <c r="T69" s="106"/>
      <c r="U69" s="148"/>
      <c r="V69" s="148"/>
      <c r="W69" s="148"/>
      <c r="X69" s="148"/>
      <c r="Y69" s="148"/>
      <c r="Z69" s="107"/>
      <c r="AA69" s="117">
        <v>69</v>
      </c>
      <c r="AB6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69" s="118"/>
      <c r="AD69" s="145" t="str">
        <f>REPLACE(INDEX(GroupVertices[Group], MATCH(Vertices[[#This Row],[Vertex]],GroupVertices[Vertex],0)),1,1,"")</f>
        <v>1</v>
      </c>
      <c r="AE69" s="2"/>
      <c r="AI69" s="3"/>
    </row>
    <row r="70" spans="1:35" x14ac:dyDescent="0.3">
      <c r="A70" s="108" t="s">
        <v>367</v>
      </c>
      <c r="B70" s="109"/>
      <c r="C70" s="109"/>
      <c r="D70" s="110"/>
      <c r="E70" s="111"/>
      <c r="F70" s="109"/>
      <c r="G70" s="109"/>
      <c r="H70" s="57" t="s">
        <v>367</v>
      </c>
      <c r="I70" s="112"/>
      <c r="J70" s="112"/>
      <c r="K70" s="57"/>
      <c r="L70" s="113"/>
      <c r="M70" s="114">
        <v>3728.02197265625</v>
      </c>
      <c r="N70" s="114">
        <v>4065.595458984375</v>
      </c>
      <c r="O70" s="115" t="s">
        <v>782</v>
      </c>
      <c r="P70" s="116"/>
      <c r="Q70" s="116"/>
      <c r="R70" s="147">
        <v>3</v>
      </c>
      <c r="S70" s="106"/>
      <c r="T70" s="106"/>
      <c r="U70" s="148">
        <v>339.33257600000002</v>
      </c>
      <c r="V70" s="148">
        <v>1.1609999999999999E-3</v>
      </c>
      <c r="W70" s="148">
        <v>2.7179999999999999E-3</v>
      </c>
      <c r="X70" s="148">
        <v>1.0686359999999999</v>
      </c>
      <c r="Y70" s="148">
        <v>0</v>
      </c>
      <c r="Z70" s="107"/>
      <c r="AA70" s="117">
        <v>70</v>
      </c>
      <c r="AB7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0" s="118"/>
      <c r="AD70" s="145" t="str">
        <f>REPLACE(INDEX(GroupVertices[Group], MATCH(Vertices[[#This Row],[Vertex]],GroupVertices[Vertex],0)),1,1,"")</f>
        <v>2</v>
      </c>
      <c r="AE70" s="2"/>
      <c r="AI70" s="3"/>
    </row>
    <row r="71" spans="1:35" x14ac:dyDescent="0.3">
      <c r="A71" s="108" t="s">
        <v>309</v>
      </c>
      <c r="B71" s="109"/>
      <c r="C71" s="109"/>
      <c r="D71" s="110"/>
      <c r="E71" s="111"/>
      <c r="F71" s="109"/>
      <c r="G71" s="109"/>
      <c r="H71" s="57" t="s">
        <v>698</v>
      </c>
      <c r="I71" s="112"/>
      <c r="J71" s="112"/>
      <c r="K71" s="57"/>
      <c r="L71" s="113"/>
      <c r="M71" s="114">
        <v>1941.4481201171875</v>
      </c>
      <c r="N71" s="114">
        <v>1683.1727294921875</v>
      </c>
      <c r="O71" s="115" t="s">
        <v>782</v>
      </c>
      <c r="P71" s="116"/>
      <c r="Q71" s="116"/>
      <c r="R71" s="147">
        <v>1</v>
      </c>
      <c r="S71" s="106"/>
      <c r="T71" s="106"/>
      <c r="U71" s="148">
        <v>0</v>
      </c>
      <c r="V71" s="148">
        <v>1.0460000000000001E-3</v>
      </c>
      <c r="W71" s="148">
        <v>2.3349999999999998E-3</v>
      </c>
      <c r="X71" s="148">
        <v>0.40768399999999999</v>
      </c>
      <c r="Y71" s="148">
        <v>0</v>
      </c>
      <c r="Z71" s="107"/>
      <c r="AA71" s="117">
        <v>71</v>
      </c>
      <c r="AB7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1" s="118"/>
      <c r="AD71" s="145" t="str">
        <f>REPLACE(INDEX(GroupVertices[Group], MATCH(Vertices[[#This Row],[Vertex]],GroupVertices[Vertex],0)),1,1,"")</f>
        <v>3</v>
      </c>
      <c r="AE71" s="2"/>
      <c r="AI71" s="3"/>
    </row>
    <row r="72" spans="1:35" x14ac:dyDescent="0.3">
      <c r="A72" s="108" t="s">
        <v>224</v>
      </c>
      <c r="B72" s="109"/>
      <c r="C72" s="109"/>
      <c r="D72" s="110"/>
      <c r="E72" s="111"/>
      <c r="F72" s="109"/>
      <c r="G72" s="109"/>
      <c r="H72" s="57" t="s">
        <v>224</v>
      </c>
      <c r="I72" s="112"/>
      <c r="J72" s="112"/>
      <c r="K72" s="57"/>
      <c r="L72" s="113"/>
      <c r="M72" s="114">
        <v>2810.98828125</v>
      </c>
      <c r="N72" s="114">
        <v>3210.198486328125</v>
      </c>
      <c r="O72" s="115" t="s">
        <v>782</v>
      </c>
      <c r="P72" s="116"/>
      <c r="Q72" s="116"/>
      <c r="R72" s="147">
        <v>3</v>
      </c>
      <c r="S72" s="106"/>
      <c r="T72" s="106"/>
      <c r="U72" s="148">
        <v>123.378975</v>
      </c>
      <c r="V72" s="148">
        <v>1.189E-3</v>
      </c>
      <c r="W72" s="148">
        <v>5.1549999999999999E-3</v>
      </c>
      <c r="X72" s="148">
        <v>0.89924199999999999</v>
      </c>
      <c r="Y72" s="148">
        <v>0</v>
      </c>
      <c r="Z72" s="107"/>
      <c r="AA72" s="117">
        <v>72</v>
      </c>
      <c r="AB7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2" s="118"/>
      <c r="AD72" s="145" t="str">
        <f>REPLACE(INDEX(GroupVertices[Group], MATCH(Vertices[[#This Row],[Vertex]],GroupVertices[Vertex],0)),1,1,"")</f>
        <v>4</v>
      </c>
      <c r="AE72" s="2"/>
      <c r="AI72" s="3"/>
    </row>
    <row r="73" spans="1:35" x14ac:dyDescent="0.3">
      <c r="A73" s="108" t="s">
        <v>302</v>
      </c>
      <c r="B73" s="109"/>
      <c r="C73" s="109"/>
      <c r="D73" s="110"/>
      <c r="E73" s="111"/>
      <c r="F73" s="109"/>
      <c r="G73" s="109"/>
      <c r="H73" s="57" t="s">
        <v>699</v>
      </c>
      <c r="I73" s="112"/>
      <c r="J73" s="112"/>
      <c r="K73" s="57"/>
      <c r="L73" s="113"/>
      <c r="M73" s="114">
        <v>2611.298828125</v>
      </c>
      <c r="N73" s="114">
        <v>2578.818115234375</v>
      </c>
      <c r="O73" s="115" t="s">
        <v>782</v>
      </c>
      <c r="P73" s="116"/>
      <c r="Q73" s="116"/>
      <c r="R73" s="147">
        <v>12</v>
      </c>
      <c r="S73" s="106"/>
      <c r="T73" s="106"/>
      <c r="U73" s="148">
        <v>1645.6065129999999</v>
      </c>
      <c r="V73" s="148">
        <v>1.3420000000000001E-3</v>
      </c>
      <c r="W73" s="148">
        <v>1.4558E-2</v>
      </c>
      <c r="X73" s="148">
        <v>3.6378870000000001</v>
      </c>
      <c r="Y73" s="148">
        <v>0</v>
      </c>
      <c r="Z73" s="107"/>
      <c r="AA73" s="117">
        <v>73</v>
      </c>
      <c r="AB7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3" s="118"/>
      <c r="AD73" s="145" t="str">
        <f>REPLACE(INDEX(GroupVertices[Group], MATCH(Vertices[[#This Row],[Vertex]],GroupVertices[Vertex],0)),1,1,"")</f>
        <v>4</v>
      </c>
      <c r="AE73" s="2"/>
      <c r="AI73" s="3"/>
    </row>
    <row r="74" spans="1:35" x14ac:dyDescent="0.3">
      <c r="A74" s="108" t="s">
        <v>359</v>
      </c>
      <c r="B74" s="109"/>
      <c r="C74" s="109"/>
      <c r="D74" s="110"/>
      <c r="E74" s="111"/>
      <c r="F74" s="109"/>
      <c r="G74" s="109"/>
      <c r="H74" s="57" t="s">
        <v>700</v>
      </c>
      <c r="I74" s="112"/>
      <c r="J74" s="112"/>
      <c r="K74" s="57"/>
      <c r="L74" s="113"/>
      <c r="M74" s="114">
        <v>2776.47265625</v>
      </c>
      <c r="N74" s="114">
        <v>5515.06689453125</v>
      </c>
      <c r="O74" s="115" t="s">
        <v>782</v>
      </c>
      <c r="P74" s="116"/>
      <c r="Q74" s="116"/>
      <c r="R74" s="147">
        <v>1</v>
      </c>
      <c r="S74" s="106"/>
      <c r="T74" s="106"/>
      <c r="U74" s="148">
        <v>0</v>
      </c>
      <c r="V74" s="148">
        <v>1.1150000000000001E-3</v>
      </c>
      <c r="W74" s="148">
        <v>3.522E-3</v>
      </c>
      <c r="X74" s="148">
        <v>0.38897900000000002</v>
      </c>
      <c r="Y74" s="148">
        <v>0</v>
      </c>
      <c r="Z74" s="107"/>
      <c r="AA74" s="117">
        <v>74</v>
      </c>
      <c r="AB7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4" s="118"/>
      <c r="AD74" s="145" t="str">
        <f>REPLACE(INDEX(GroupVertices[Group], MATCH(Vertices[[#This Row],[Vertex]],GroupVertices[Vertex],0)),1,1,"")</f>
        <v>6</v>
      </c>
      <c r="AE74" s="2"/>
      <c r="AI74" s="3"/>
    </row>
    <row r="75" spans="1:35" x14ac:dyDescent="0.3">
      <c r="A75" s="108" t="s">
        <v>590</v>
      </c>
      <c r="B75" s="109"/>
      <c r="C75" s="109"/>
      <c r="D75" s="110"/>
      <c r="E75" s="111"/>
      <c r="F75" s="109"/>
      <c r="G75" s="109"/>
      <c r="H75" s="57" t="s">
        <v>590</v>
      </c>
      <c r="I75" s="112"/>
      <c r="J75" s="112"/>
      <c r="K75" s="57"/>
      <c r="L75" s="113"/>
      <c r="M75" s="114">
        <v>8519.90234375</v>
      </c>
      <c r="N75" s="114">
        <v>7325.63037109375</v>
      </c>
      <c r="O75" s="115" t="s">
        <v>782</v>
      </c>
      <c r="P75" s="116"/>
      <c r="Q75" s="116"/>
      <c r="R75" s="147"/>
      <c r="S75" s="106"/>
      <c r="T75" s="106"/>
      <c r="U75" s="148"/>
      <c r="V75" s="148"/>
      <c r="W75" s="148"/>
      <c r="X75" s="148"/>
      <c r="Y75" s="148"/>
      <c r="Z75" s="107"/>
      <c r="AA75" s="117">
        <v>75</v>
      </c>
      <c r="AB7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5" s="118"/>
      <c r="AD75" s="145" t="str">
        <f>REPLACE(INDEX(GroupVertices[Group], MATCH(Vertices[[#This Row],[Vertex]],GroupVertices[Vertex],0)),1,1,"")</f>
        <v>1</v>
      </c>
      <c r="AE75" s="2"/>
      <c r="AI75" s="3"/>
    </row>
    <row r="76" spans="1:35" x14ac:dyDescent="0.3">
      <c r="A76" s="108" t="s">
        <v>288</v>
      </c>
      <c r="B76" s="109"/>
      <c r="C76" s="109"/>
      <c r="D76" s="110"/>
      <c r="E76" s="111"/>
      <c r="F76" s="109"/>
      <c r="G76" s="109"/>
      <c r="H76" s="57" t="s">
        <v>288</v>
      </c>
      <c r="I76" s="112"/>
      <c r="J76" s="112"/>
      <c r="K76" s="57"/>
      <c r="L76" s="113"/>
      <c r="M76" s="114">
        <v>4449.5263671875</v>
      </c>
      <c r="N76" s="114">
        <v>5911.36865234375</v>
      </c>
      <c r="O76" s="115" t="s">
        <v>782</v>
      </c>
      <c r="P76" s="116"/>
      <c r="Q76" s="116"/>
      <c r="R76" s="147">
        <v>1</v>
      </c>
      <c r="S76" s="106"/>
      <c r="T76" s="106"/>
      <c r="U76" s="148">
        <v>0</v>
      </c>
      <c r="V76" s="148">
        <v>1.0950000000000001E-3</v>
      </c>
      <c r="W76" s="148">
        <v>1.776E-3</v>
      </c>
      <c r="X76" s="148">
        <v>0.41542699999999999</v>
      </c>
      <c r="Y76" s="148">
        <v>0</v>
      </c>
      <c r="Z76" s="107"/>
      <c r="AA76" s="117">
        <v>76</v>
      </c>
      <c r="AB7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6" s="118"/>
      <c r="AD76" s="145" t="str">
        <f>REPLACE(INDEX(GroupVertices[Group], MATCH(Vertices[[#This Row],[Vertex]],GroupVertices[Vertex],0)),1,1,"")</f>
        <v>11</v>
      </c>
      <c r="AE76" s="2"/>
      <c r="AI76" s="3"/>
    </row>
    <row r="77" spans="1:35" x14ac:dyDescent="0.3">
      <c r="A77" s="108" t="s">
        <v>372</v>
      </c>
      <c r="B77" s="109"/>
      <c r="C77" s="109"/>
      <c r="D77" s="110"/>
      <c r="E77" s="111"/>
      <c r="F77" s="109"/>
      <c r="G77" s="109"/>
      <c r="H77" s="57" t="s">
        <v>372</v>
      </c>
      <c r="I77" s="112"/>
      <c r="J77" s="112"/>
      <c r="K77" s="57"/>
      <c r="L77" s="113"/>
      <c r="M77" s="114">
        <v>6976.576171875</v>
      </c>
      <c r="N77" s="114">
        <v>4926.666015625</v>
      </c>
      <c r="O77" s="115" t="s">
        <v>782</v>
      </c>
      <c r="P77" s="116"/>
      <c r="Q77" s="116"/>
      <c r="R77" s="147">
        <v>2</v>
      </c>
      <c r="S77" s="106"/>
      <c r="T77" s="106"/>
      <c r="U77" s="148">
        <v>0</v>
      </c>
      <c r="V77" s="148">
        <v>1.0369999999999999E-3</v>
      </c>
      <c r="W77" s="148">
        <v>3.9069999999999999E-3</v>
      </c>
      <c r="X77" s="148">
        <v>0.64040900000000001</v>
      </c>
      <c r="Y77" s="148">
        <v>1</v>
      </c>
      <c r="Z77" s="107"/>
      <c r="AA77" s="117">
        <v>77</v>
      </c>
      <c r="AB7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7" s="118"/>
      <c r="AD77" s="145" t="str">
        <f>REPLACE(INDEX(GroupVertices[Group], MATCH(Vertices[[#This Row],[Vertex]],GroupVertices[Vertex],0)),1,1,"")</f>
        <v>3</v>
      </c>
      <c r="AE77" s="2"/>
      <c r="AI77" s="3"/>
    </row>
    <row r="78" spans="1:35" x14ac:dyDescent="0.3">
      <c r="A78" s="108" t="s">
        <v>348</v>
      </c>
      <c r="B78" s="109"/>
      <c r="C78" s="109"/>
      <c r="D78" s="110"/>
      <c r="E78" s="111"/>
      <c r="F78" s="109"/>
      <c r="G78" s="109"/>
      <c r="H78" s="57" t="s">
        <v>348</v>
      </c>
      <c r="I78" s="112"/>
      <c r="J78" s="112"/>
      <c r="K78" s="57"/>
      <c r="L78" s="113"/>
      <c r="M78" s="114">
        <v>5816.87109375</v>
      </c>
      <c r="N78" s="114">
        <v>5442.15234375</v>
      </c>
      <c r="O78" s="115" t="s">
        <v>782</v>
      </c>
      <c r="P78" s="116"/>
      <c r="Q78" s="116"/>
      <c r="R78" s="147">
        <v>7</v>
      </c>
      <c r="S78" s="106"/>
      <c r="T78" s="106"/>
      <c r="U78" s="148">
        <v>801.38578900000005</v>
      </c>
      <c r="V78" s="148">
        <v>1.2769999999999999E-3</v>
      </c>
      <c r="W78" s="148">
        <v>9.8010000000000007E-3</v>
      </c>
      <c r="X78" s="148">
        <v>1.8482050000000001</v>
      </c>
      <c r="Y78" s="148">
        <v>9.5238095238095233E-2</v>
      </c>
      <c r="Z78" s="107"/>
      <c r="AA78" s="117">
        <v>78</v>
      </c>
      <c r="AB7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8" s="118"/>
      <c r="AD78" s="145" t="str">
        <f>REPLACE(INDEX(GroupVertices[Group], MATCH(Vertices[[#This Row],[Vertex]],GroupVertices[Vertex],0)),1,1,"")</f>
        <v>3</v>
      </c>
      <c r="AE78" s="2"/>
      <c r="AI78" s="3"/>
    </row>
    <row r="79" spans="1:35" x14ac:dyDescent="0.3">
      <c r="A79" s="108" t="s">
        <v>313</v>
      </c>
      <c r="B79" s="109"/>
      <c r="C79" s="109"/>
      <c r="D79" s="110"/>
      <c r="E79" s="111"/>
      <c r="F79" s="109"/>
      <c r="G79" s="109"/>
      <c r="H79" s="57" t="s">
        <v>313</v>
      </c>
      <c r="I79" s="112"/>
      <c r="J79" s="112"/>
      <c r="K79" s="57"/>
      <c r="L79" s="113"/>
      <c r="M79" s="114">
        <v>4340.3828125</v>
      </c>
      <c r="N79" s="114">
        <v>1600.9285888671875</v>
      </c>
      <c r="O79" s="115" t="s">
        <v>782</v>
      </c>
      <c r="P79" s="116"/>
      <c r="Q79" s="116"/>
      <c r="R79" s="147">
        <v>1</v>
      </c>
      <c r="S79" s="106"/>
      <c r="T79" s="106"/>
      <c r="U79" s="148">
        <v>0</v>
      </c>
      <c r="V79" s="148">
        <v>1.1000000000000001E-3</v>
      </c>
      <c r="W79" s="148">
        <v>3.7160000000000001E-3</v>
      </c>
      <c r="X79" s="148">
        <v>0.38369799999999998</v>
      </c>
      <c r="Y79" s="148">
        <v>0</v>
      </c>
      <c r="Z79" s="107"/>
      <c r="AA79" s="117">
        <v>79</v>
      </c>
      <c r="AB7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79" s="118"/>
      <c r="AD79" s="145" t="str">
        <f>REPLACE(INDEX(GroupVertices[Group], MATCH(Vertices[[#This Row],[Vertex]],GroupVertices[Vertex],0)),1,1,"")</f>
        <v>4</v>
      </c>
      <c r="AE79" s="2"/>
      <c r="AI79" s="3"/>
    </row>
    <row r="80" spans="1:35" x14ac:dyDescent="0.3">
      <c r="A80" s="108" t="s">
        <v>220</v>
      </c>
      <c r="B80" s="109"/>
      <c r="C80" s="109"/>
      <c r="D80" s="110"/>
      <c r="E80" s="111"/>
      <c r="F80" s="109"/>
      <c r="G80" s="109"/>
      <c r="H80" s="57" t="s">
        <v>220</v>
      </c>
      <c r="I80" s="112"/>
      <c r="J80" s="112"/>
      <c r="K80" s="57"/>
      <c r="L80" s="113"/>
      <c r="M80" s="114">
        <v>4579.64990234375</v>
      </c>
      <c r="N80" s="114">
        <v>4208.4091796875</v>
      </c>
      <c r="O80" s="115" t="s">
        <v>782</v>
      </c>
      <c r="P80" s="116"/>
      <c r="Q80" s="116"/>
      <c r="R80" s="147">
        <v>11</v>
      </c>
      <c r="S80" s="106"/>
      <c r="T80" s="106"/>
      <c r="U80" s="148">
        <v>1728.201397</v>
      </c>
      <c r="V80" s="148">
        <v>1.418E-3</v>
      </c>
      <c r="W80" s="148">
        <v>1.1982E-2</v>
      </c>
      <c r="X80" s="148">
        <v>3.3638170000000001</v>
      </c>
      <c r="Y80" s="148">
        <v>0</v>
      </c>
      <c r="Z80" s="107"/>
      <c r="AA80" s="117">
        <v>80</v>
      </c>
      <c r="AB8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0" s="118"/>
      <c r="AD80" s="145" t="str">
        <f>REPLACE(INDEX(GroupVertices[Group], MATCH(Vertices[[#This Row],[Vertex]],GroupVertices[Vertex],0)),1,1,"")</f>
        <v>2</v>
      </c>
      <c r="AE80" s="2"/>
      <c r="AI80" s="3"/>
    </row>
    <row r="81" spans="1:35" x14ac:dyDescent="0.3">
      <c r="A81" s="108" t="s">
        <v>342</v>
      </c>
      <c r="B81" s="109"/>
      <c r="C81" s="109"/>
      <c r="D81" s="110"/>
      <c r="E81" s="111"/>
      <c r="F81" s="109"/>
      <c r="G81" s="109"/>
      <c r="H81" s="57" t="s">
        <v>342</v>
      </c>
      <c r="I81" s="112"/>
      <c r="J81" s="112"/>
      <c r="K81" s="57"/>
      <c r="L81" s="113"/>
      <c r="M81" s="114">
        <v>3630.22021484375</v>
      </c>
      <c r="N81" s="114">
        <v>6832.70361328125</v>
      </c>
      <c r="O81" s="115" t="s">
        <v>782</v>
      </c>
      <c r="P81" s="116"/>
      <c r="Q81" s="116"/>
      <c r="R81" s="147">
        <v>1</v>
      </c>
      <c r="S81" s="106"/>
      <c r="T81" s="106"/>
      <c r="U81" s="148">
        <v>0</v>
      </c>
      <c r="V81" s="148">
        <v>1.057E-3</v>
      </c>
      <c r="W81" s="148">
        <v>1.3290000000000001E-3</v>
      </c>
      <c r="X81" s="148">
        <v>0.42330699999999999</v>
      </c>
      <c r="Y81" s="148">
        <v>0</v>
      </c>
      <c r="Z81" s="107"/>
      <c r="AA81" s="117">
        <v>81</v>
      </c>
      <c r="AB8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1" s="118"/>
      <c r="AD81" s="145" t="str">
        <f>REPLACE(INDEX(GroupVertices[Group], MATCH(Vertices[[#This Row],[Vertex]],GroupVertices[Vertex],0)),1,1,"")</f>
        <v>1</v>
      </c>
      <c r="AE81" s="2"/>
      <c r="AI81" s="3"/>
    </row>
    <row r="82" spans="1:35" x14ac:dyDescent="0.3">
      <c r="A82" s="108" t="s">
        <v>293</v>
      </c>
      <c r="B82" s="109"/>
      <c r="C82" s="109"/>
      <c r="D82" s="110"/>
      <c r="E82" s="111"/>
      <c r="F82" s="109"/>
      <c r="G82" s="109"/>
      <c r="H82" s="57" t="s">
        <v>293</v>
      </c>
      <c r="I82" s="112"/>
      <c r="J82" s="112"/>
      <c r="K82" s="57"/>
      <c r="L82" s="113"/>
      <c r="M82" s="114">
        <v>6560.23486328125</v>
      </c>
      <c r="N82" s="114">
        <v>1280.2069091796875</v>
      </c>
      <c r="O82" s="115" t="s">
        <v>782</v>
      </c>
      <c r="P82" s="116"/>
      <c r="Q82" s="116"/>
      <c r="R82" s="147">
        <v>1</v>
      </c>
      <c r="S82" s="106"/>
      <c r="T82" s="106"/>
      <c r="U82" s="148">
        <v>0</v>
      </c>
      <c r="V82" s="148">
        <v>8.9599999999999999E-4</v>
      </c>
      <c r="W82" s="148">
        <v>2.61E-4</v>
      </c>
      <c r="X82" s="148">
        <v>0.47978799999999999</v>
      </c>
      <c r="Y82" s="148">
        <v>0</v>
      </c>
      <c r="Z82" s="107"/>
      <c r="AA82" s="117">
        <v>82</v>
      </c>
      <c r="AB8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2" s="118"/>
      <c r="AD82" s="145" t="str">
        <f>REPLACE(INDEX(GroupVertices[Group], MATCH(Vertices[[#This Row],[Vertex]],GroupVertices[Vertex],0)),1,1,"")</f>
        <v>7</v>
      </c>
      <c r="AE82" s="2"/>
      <c r="AI82" s="3"/>
    </row>
    <row r="83" spans="1:35" x14ac:dyDescent="0.3">
      <c r="A83" s="108" t="s">
        <v>286</v>
      </c>
      <c r="B83" s="109"/>
      <c r="C83" s="109"/>
      <c r="D83" s="110"/>
      <c r="E83" s="111"/>
      <c r="F83" s="109"/>
      <c r="G83" s="109"/>
      <c r="H83" s="57" t="s">
        <v>701</v>
      </c>
      <c r="I83" s="112"/>
      <c r="J83" s="112"/>
      <c r="K83" s="57"/>
      <c r="L83" s="113"/>
      <c r="M83" s="114">
        <v>2784.311279296875</v>
      </c>
      <c r="N83" s="114">
        <v>6981.70166015625</v>
      </c>
      <c r="O83" s="115" t="s">
        <v>782</v>
      </c>
      <c r="P83" s="116"/>
      <c r="Q83" s="116"/>
      <c r="R83" s="147">
        <v>1</v>
      </c>
      <c r="S83" s="106"/>
      <c r="T83" s="106"/>
      <c r="U83" s="148">
        <v>0</v>
      </c>
      <c r="V83" s="148">
        <v>1.0709999999999999E-3</v>
      </c>
      <c r="W83" s="148">
        <v>1.39E-3</v>
      </c>
      <c r="X83" s="148">
        <v>0.40907100000000002</v>
      </c>
      <c r="Y83" s="148">
        <v>0</v>
      </c>
      <c r="Z83" s="107"/>
      <c r="AA83" s="117">
        <v>83</v>
      </c>
      <c r="AB8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3" s="118"/>
      <c r="AD83" s="145" t="str">
        <f>REPLACE(INDEX(GroupVertices[Group], MATCH(Vertices[[#This Row],[Vertex]],GroupVertices[Vertex],0)),1,1,"")</f>
        <v>5</v>
      </c>
      <c r="AE83" s="2"/>
      <c r="AI83" s="3"/>
    </row>
    <row r="84" spans="1:35" x14ac:dyDescent="0.3">
      <c r="A84" s="108" t="s">
        <v>572</v>
      </c>
      <c r="B84" s="109"/>
      <c r="C84" s="109"/>
      <c r="D84" s="110"/>
      <c r="E84" s="111"/>
      <c r="F84" s="109"/>
      <c r="G84" s="109"/>
      <c r="H84" s="57" t="s">
        <v>702</v>
      </c>
      <c r="I84" s="112"/>
      <c r="J84" s="112"/>
      <c r="K84" s="57"/>
      <c r="L84" s="113"/>
      <c r="M84" s="114">
        <v>2366.865234375</v>
      </c>
      <c r="N84" s="114">
        <v>4528.0654296875</v>
      </c>
      <c r="O84" s="115" t="s">
        <v>782</v>
      </c>
      <c r="P84" s="116"/>
      <c r="Q84" s="116"/>
      <c r="R84" s="147"/>
      <c r="S84" s="106"/>
      <c r="T84" s="106"/>
      <c r="U84" s="148"/>
      <c r="V84" s="148"/>
      <c r="W84" s="148"/>
      <c r="X84" s="148"/>
      <c r="Y84" s="148"/>
      <c r="Z84" s="107"/>
      <c r="AA84" s="117">
        <v>84</v>
      </c>
      <c r="AB8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4" s="118"/>
      <c r="AD84" s="145" t="str">
        <f>REPLACE(INDEX(GroupVertices[Group], MATCH(Vertices[[#This Row],[Vertex]],GroupVertices[Vertex],0)),1,1,"")</f>
        <v>9</v>
      </c>
      <c r="AE84" s="2"/>
      <c r="AI84" s="3"/>
    </row>
    <row r="85" spans="1:35" x14ac:dyDescent="0.3">
      <c r="A85" s="108" t="s">
        <v>197</v>
      </c>
      <c r="B85" s="109"/>
      <c r="C85" s="109"/>
      <c r="D85" s="110"/>
      <c r="E85" s="111"/>
      <c r="F85" s="109"/>
      <c r="G85" s="109"/>
      <c r="H85" s="57" t="s">
        <v>197</v>
      </c>
      <c r="I85" s="112"/>
      <c r="J85" s="112"/>
      <c r="K85" s="57"/>
      <c r="L85" s="113"/>
      <c r="M85" s="114">
        <v>5873.3935546875</v>
      </c>
      <c r="N85" s="114">
        <v>5351.6875</v>
      </c>
      <c r="O85" s="115" t="s">
        <v>782</v>
      </c>
      <c r="P85" s="116"/>
      <c r="Q85" s="116"/>
      <c r="R85" s="147">
        <v>5</v>
      </c>
      <c r="S85" s="106"/>
      <c r="T85" s="106"/>
      <c r="U85" s="148">
        <v>644.75763099999995</v>
      </c>
      <c r="V85" s="148">
        <v>1.274E-3</v>
      </c>
      <c r="W85" s="148">
        <v>3.1089999999999998E-3</v>
      </c>
      <c r="X85" s="148">
        <v>1.527719</v>
      </c>
      <c r="Y85" s="148">
        <v>0.1</v>
      </c>
      <c r="Z85" s="107"/>
      <c r="AA85" s="117">
        <v>85</v>
      </c>
      <c r="AB8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5" s="118"/>
      <c r="AD85" s="145" t="str">
        <f>REPLACE(INDEX(GroupVertices[Group], MATCH(Vertices[[#This Row],[Vertex]],GroupVertices[Vertex],0)),1,1,"")</f>
        <v>5</v>
      </c>
      <c r="AE85" s="2"/>
      <c r="AI85" s="3"/>
    </row>
    <row r="86" spans="1:35" x14ac:dyDescent="0.3">
      <c r="A86" s="108" t="s">
        <v>360</v>
      </c>
      <c r="B86" s="109"/>
      <c r="C86" s="109"/>
      <c r="D86" s="110"/>
      <c r="E86" s="111"/>
      <c r="F86" s="109"/>
      <c r="G86" s="109"/>
      <c r="H86" s="57" t="s">
        <v>703</v>
      </c>
      <c r="I86" s="112"/>
      <c r="J86" s="112"/>
      <c r="K86" s="57"/>
      <c r="L86" s="113"/>
      <c r="M86" s="114">
        <v>3087.79638671875</v>
      </c>
      <c r="N86" s="114">
        <v>3655.581298828125</v>
      </c>
      <c r="O86" s="115" t="s">
        <v>782</v>
      </c>
      <c r="P86" s="116"/>
      <c r="Q86" s="116"/>
      <c r="R86" s="147">
        <v>2</v>
      </c>
      <c r="S86" s="106"/>
      <c r="T86" s="106"/>
      <c r="U86" s="148">
        <v>118.17857100000001</v>
      </c>
      <c r="V86" s="148">
        <v>1.199E-3</v>
      </c>
      <c r="W86" s="148">
        <v>5.5820000000000002E-3</v>
      </c>
      <c r="X86" s="148">
        <v>0.63519099999999995</v>
      </c>
      <c r="Y86" s="148">
        <v>0</v>
      </c>
      <c r="Z86" s="107"/>
      <c r="AA86" s="117">
        <v>86</v>
      </c>
      <c r="AB8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6" s="118"/>
      <c r="AD86" s="145" t="str">
        <f>REPLACE(INDEX(GroupVertices[Group], MATCH(Vertices[[#This Row],[Vertex]],GroupVertices[Vertex],0)),1,1,"")</f>
        <v>10</v>
      </c>
      <c r="AE86" s="2"/>
      <c r="AI86" s="3"/>
    </row>
    <row r="87" spans="1:35" x14ac:dyDescent="0.3">
      <c r="A87" s="108" t="s">
        <v>335</v>
      </c>
      <c r="B87" s="109"/>
      <c r="C87" s="109"/>
      <c r="D87" s="110"/>
      <c r="E87" s="111"/>
      <c r="F87" s="109"/>
      <c r="G87" s="109"/>
      <c r="H87" s="57" t="s">
        <v>335</v>
      </c>
      <c r="I87" s="112"/>
      <c r="J87" s="112"/>
      <c r="K87" s="57"/>
      <c r="L87" s="113"/>
      <c r="M87" s="114">
        <v>5280.998046875</v>
      </c>
      <c r="N87" s="114">
        <v>2096.218994140625</v>
      </c>
      <c r="O87" s="115" t="s">
        <v>782</v>
      </c>
      <c r="P87" s="116"/>
      <c r="Q87" s="116"/>
      <c r="R87" s="147">
        <v>1</v>
      </c>
      <c r="S87" s="106"/>
      <c r="T87" s="106"/>
      <c r="U87" s="148">
        <v>0</v>
      </c>
      <c r="V87" s="148">
        <v>1.0579999999999999E-3</v>
      </c>
      <c r="W87" s="148">
        <v>1.292E-3</v>
      </c>
      <c r="X87" s="148">
        <v>0.46053899999999998</v>
      </c>
      <c r="Y87" s="148">
        <v>0</v>
      </c>
      <c r="Z87" s="107"/>
      <c r="AA87" s="117">
        <v>87</v>
      </c>
      <c r="AB8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7" s="118"/>
      <c r="AD87" s="145" t="str">
        <f>REPLACE(INDEX(GroupVertices[Group], MATCH(Vertices[[#This Row],[Vertex]],GroupVertices[Vertex],0)),1,1,"")</f>
        <v>11</v>
      </c>
      <c r="AE87" s="2"/>
      <c r="AI87" s="3"/>
    </row>
    <row r="88" spans="1:35" x14ac:dyDescent="0.3">
      <c r="A88" s="108" t="s">
        <v>258</v>
      </c>
      <c r="B88" s="109"/>
      <c r="C88" s="109"/>
      <c r="D88" s="110"/>
      <c r="E88" s="111"/>
      <c r="F88" s="109"/>
      <c r="G88" s="109"/>
      <c r="H88" s="57" t="s">
        <v>258</v>
      </c>
      <c r="I88" s="112"/>
      <c r="J88" s="112"/>
      <c r="K88" s="57"/>
      <c r="L88" s="113"/>
      <c r="M88" s="114">
        <v>7039.5400390625</v>
      </c>
      <c r="N88" s="114">
        <v>5672.8203125</v>
      </c>
      <c r="O88" s="115" t="s">
        <v>782</v>
      </c>
      <c r="P88" s="116"/>
      <c r="Q88" s="116"/>
      <c r="R88" s="147">
        <v>1</v>
      </c>
      <c r="S88" s="106"/>
      <c r="T88" s="106"/>
      <c r="U88" s="148">
        <v>0</v>
      </c>
      <c r="V88" s="148">
        <v>1.0039999999999999E-3</v>
      </c>
      <c r="W88" s="148">
        <v>4.9899999999999999E-4</v>
      </c>
      <c r="X88" s="148">
        <v>0.40971200000000002</v>
      </c>
      <c r="Y88" s="148">
        <v>0</v>
      </c>
      <c r="Z88" s="107"/>
      <c r="AA88" s="117">
        <v>88</v>
      </c>
      <c r="AB8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8" s="118"/>
      <c r="AD88" s="145" t="str">
        <f>REPLACE(INDEX(GroupVertices[Group], MATCH(Vertices[[#This Row],[Vertex]],GroupVertices[Vertex],0)),1,1,"")</f>
        <v>5</v>
      </c>
      <c r="AE88" s="2"/>
      <c r="AI88" s="3"/>
    </row>
    <row r="89" spans="1:35" x14ac:dyDescent="0.3">
      <c r="A89" s="108" t="s">
        <v>394</v>
      </c>
      <c r="B89" s="109"/>
      <c r="C89" s="109"/>
      <c r="D89" s="110"/>
      <c r="E89" s="111"/>
      <c r="F89" s="109"/>
      <c r="G89" s="109"/>
      <c r="H89" s="57" t="s">
        <v>394</v>
      </c>
      <c r="I89" s="112"/>
      <c r="J89" s="112"/>
      <c r="K89" s="57"/>
      <c r="L89" s="113"/>
      <c r="M89" s="114">
        <v>4254.4150390625</v>
      </c>
      <c r="N89" s="114">
        <v>840.67730712890625</v>
      </c>
      <c r="O89" s="115" t="s">
        <v>782</v>
      </c>
      <c r="P89" s="116"/>
      <c r="Q89" s="116"/>
      <c r="R89" s="147">
        <v>1</v>
      </c>
      <c r="S89" s="106"/>
      <c r="T89" s="106"/>
      <c r="U89" s="148">
        <v>0</v>
      </c>
      <c r="V89" s="148">
        <v>9.7599999999999998E-4</v>
      </c>
      <c r="W89" s="148">
        <v>1.129E-3</v>
      </c>
      <c r="X89" s="148">
        <v>0.42047099999999998</v>
      </c>
      <c r="Y89" s="148">
        <v>0</v>
      </c>
      <c r="Z89" s="107"/>
      <c r="AA89" s="117">
        <v>89</v>
      </c>
      <c r="AB8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89" s="118"/>
      <c r="AD89" s="145" t="str">
        <f>REPLACE(INDEX(GroupVertices[Group], MATCH(Vertices[[#This Row],[Vertex]],GroupVertices[Vertex],0)),1,1,"")</f>
        <v>3</v>
      </c>
      <c r="AE89" s="2"/>
      <c r="AI89" s="3"/>
    </row>
    <row r="90" spans="1:35" x14ac:dyDescent="0.3">
      <c r="A90" s="108" t="s">
        <v>241</v>
      </c>
      <c r="B90" s="109"/>
      <c r="C90" s="109"/>
      <c r="D90" s="110"/>
      <c r="E90" s="111"/>
      <c r="F90" s="109"/>
      <c r="G90" s="109"/>
      <c r="H90" s="57" t="s">
        <v>241</v>
      </c>
      <c r="I90" s="112"/>
      <c r="J90" s="112"/>
      <c r="K90" s="57"/>
      <c r="L90" s="113"/>
      <c r="M90" s="114">
        <v>1709.9766845703125</v>
      </c>
      <c r="N90" s="114">
        <v>3473.55224609375</v>
      </c>
      <c r="O90" s="115" t="s">
        <v>782</v>
      </c>
      <c r="P90" s="116"/>
      <c r="Q90" s="116"/>
      <c r="R90" s="147">
        <v>1</v>
      </c>
      <c r="S90" s="106"/>
      <c r="T90" s="106"/>
      <c r="U90" s="148">
        <v>0</v>
      </c>
      <c r="V90" s="148">
        <v>1.2019999999999999E-3</v>
      </c>
      <c r="W90" s="148">
        <v>2.9559999999999999E-3</v>
      </c>
      <c r="X90" s="148">
        <v>0.43176500000000001</v>
      </c>
      <c r="Y90" s="148">
        <v>0</v>
      </c>
      <c r="Z90" s="107"/>
      <c r="AA90" s="117">
        <v>90</v>
      </c>
      <c r="AB9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0" s="118"/>
      <c r="AD90" s="145" t="str">
        <f>REPLACE(INDEX(GroupVertices[Group], MATCH(Vertices[[#This Row],[Vertex]],GroupVertices[Vertex],0)),1,1,"")</f>
        <v>8</v>
      </c>
      <c r="AE90" s="2"/>
      <c r="AI90" s="3"/>
    </row>
    <row r="91" spans="1:35" x14ac:dyDescent="0.3">
      <c r="A91" s="108" t="s">
        <v>592</v>
      </c>
      <c r="B91" s="109"/>
      <c r="C91" s="109"/>
      <c r="D91" s="110"/>
      <c r="E91" s="111"/>
      <c r="F91" s="109"/>
      <c r="G91" s="109"/>
      <c r="H91" s="57" t="s">
        <v>704</v>
      </c>
      <c r="I91" s="112"/>
      <c r="J91" s="112"/>
      <c r="K91" s="57"/>
      <c r="L91" s="113"/>
      <c r="M91" s="114">
        <v>8383.97265625</v>
      </c>
      <c r="N91" s="114">
        <v>7439.43408203125</v>
      </c>
      <c r="O91" s="115" t="s">
        <v>782</v>
      </c>
      <c r="P91" s="116"/>
      <c r="Q91" s="116"/>
      <c r="R91" s="147"/>
      <c r="S91" s="106"/>
      <c r="T91" s="106"/>
      <c r="U91" s="148"/>
      <c r="V91" s="148"/>
      <c r="W91" s="148"/>
      <c r="X91" s="148"/>
      <c r="Y91" s="148"/>
      <c r="Z91" s="107"/>
      <c r="AA91" s="117">
        <v>91</v>
      </c>
      <c r="AB9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1" s="118"/>
      <c r="AD91" s="145" t="str">
        <f>REPLACE(INDEX(GroupVertices[Group], MATCH(Vertices[[#This Row],[Vertex]],GroupVertices[Vertex],0)),1,1,"")</f>
        <v>1</v>
      </c>
      <c r="AE91" s="2"/>
      <c r="AI91" s="3"/>
    </row>
    <row r="92" spans="1:35" x14ac:dyDescent="0.3">
      <c r="A92" s="108" t="s">
        <v>221</v>
      </c>
      <c r="B92" s="109"/>
      <c r="C92" s="109"/>
      <c r="D92" s="110"/>
      <c r="E92" s="111"/>
      <c r="F92" s="109"/>
      <c r="G92" s="109"/>
      <c r="H92" s="57" t="s">
        <v>221</v>
      </c>
      <c r="I92" s="112"/>
      <c r="J92" s="112"/>
      <c r="K92" s="57"/>
      <c r="L92" s="113"/>
      <c r="M92" s="114">
        <v>2371.50439453125</v>
      </c>
      <c r="N92" s="114">
        <v>2304.231689453125</v>
      </c>
      <c r="O92" s="115" t="s">
        <v>782</v>
      </c>
      <c r="P92" s="116"/>
      <c r="Q92" s="116"/>
      <c r="R92" s="147">
        <v>3</v>
      </c>
      <c r="S92" s="106"/>
      <c r="T92" s="106"/>
      <c r="U92" s="148">
        <v>368.28257600000001</v>
      </c>
      <c r="V92" s="148">
        <v>1.292E-3</v>
      </c>
      <c r="W92" s="148">
        <v>5.4819999999999999E-3</v>
      </c>
      <c r="X92" s="148">
        <v>1.0463420000000001</v>
      </c>
      <c r="Y92" s="148">
        <v>0</v>
      </c>
      <c r="Z92" s="107"/>
      <c r="AA92" s="117">
        <v>92</v>
      </c>
      <c r="AB9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2" s="118"/>
      <c r="AD92" s="145" t="str">
        <f>REPLACE(INDEX(GroupVertices[Group], MATCH(Vertices[[#This Row],[Vertex]],GroupVertices[Vertex],0)),1,1,"")</f>
        <v>4</v>
      </c>
      <c r="AE92" s="2"/>
      <c r="AI92" s="3"/>
    </row>
    <row r="93" spans="1:35" x14ac:dyDescent="0.3">
      <c r="A93" s="108" t="s">
        <v>329</v>
      </c>
      <c r="B93" s="109"/>
      <c r="C93" s="109"/>
      <c r="D93" s="110"/>
      <c r="E93" s="111"/>
      <c r="F93" s="109"/>
      <c r="G93" s="109"/>
      <c r="H93" s="57" t="s">
        <v>329</v>
      </c>
      <c r="I93" s="112"/>
      <c r="J93" s="112"/>
      <c r="K93" s="57"/>
      <c r="L93" s="113"/>
      <c r="M93" s="114">
        <v>911.46875</v>
      </c>
      <c r="N93" s="114">
        <v>1584.6915283203125</v>
      </c>
      <c r="O93" s="115" t="s">
        <v>782</v>
      </c>
      <c r="P93" s="116"/>
      <c r="Q93" s="116"/>
      <c r="R93" s="147">
        <v>1</v>
      </c>
      <c r="S93" s="106"/>
      <c r="T93" s="106"/>
      <c r="U93" s="148">
        <v>0</v>
      </c>
      <c r="V93" s="148">
        <v>9.6100000000000005E-4</v>
      </c>
      <c r="W93" s="148">
        <v>4.8700000000000002E-4</v>
      </c>
      <c r="X93" s="148">
        <v>0.52211300000000005</v>
      </c>
      <c r="Y93" s="148">
        <v>0</v>
      </c>
      <c r="Z93" s="107"/>
      <c r="AA93" s="117">
        <v>93</v>
      </c>
      <c r="AB9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3" s="118"/>
      <c r="AD93" s="145" t="str">
        <f>REPLACE(INDEX(GroupVertices[Group], MATCH(Vertices[[#This Row],[Vertex]],GroupVertices[Vertex],0)),1,1,"")</f>
        <v>8</v>
      </c>
      <c r="AE93" s="2"/>
      <c r="AI93" s="3"/>
    </row>
    <row r="94" spans="1:35" x14ac:dyDescent="0.3">
      <c r="A94" s="108" t="s">
        <v>237</v>
      </c>
      <c r="B94" s="109"/>
      <c r="C94" s="109"/>
      <c r="D94" s="110"/>
      <c r="E94" s="111"/>
      <c r="F94" s="109"/>
      <c r="G94" s="109"/>
      <c r="H94" s="57" t="s">
        <v>237</v>
      </c>
      <c r="I94" s="112"/>
      <c r="J94" s="112"/>
      <c r="K94" s="57"/>
      <c r="L94" s="113"/>
      <c r="M94" s="114">
        <v>1971.367919921875</v>
      </c>
      <c r="N94" s="114">
        <v>2912.234375</v>
      </c>
      <c r="O94" s="115" t="s">
        <v>782</v>
      </c>
      <c r="P94" s="116"/>
      <c r="Q94" s="116"/>
      <c r="R94" s="147">
        <v>1</v>
      </c>
      <c r="S94" s="106"/>
      <c r="T94" s="106"/>
      <c r="U94" s="148">
        <v>0</v>
      </c>
      <c r="V94" s="148">
        <v>1.2019999999999999E-3</v>
      </c>
      <c r="W94" s="148">
        <v>2.9559999999999999E-3</v>
      </c>
      <c r="X94" s="148">
        <v>0.43176500000000001</v>
      </c>
      <c r="Y94" s="148">
        <v>0</v>
      </c>
      <c r="Z94" s="107"/>
      <c r="AA94" s="117">
        <v>94</v>
      </c>
      <c r="AB9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4" s="118"/>
      <c r="AD94" s="145" t="str">
        <f>REPLACE(INDEX(GroupVertices[Group], MATCH(Vertices[[#This Row],[Vertex]],GroupVertices[Vertex],0)),1,1,"")</f>
        <v>8</v>
      </c>
      <c r="AE94" s="2"/>
      <c r="AI94" s="3"/>
    </row>
    <row r="95" spans="1:35" x14ac:dyDescent="0.3">
      <c r="A95" s="108" t="s">
        <v>226</v>
      </c>
      <c r="B95" s="109"/>
      <c r="C95" s="109"/>
      <c r="D95" s="110"/>
      <c r="E95" s="111"/>
      <c r="F95" s="109"/>
      <c r="G95" s="109"/>
      <c r="H95" s="57" t="s">
        <v>226</v>
      </c>
      <c r="I95" s="112"/>
      <c r="J95" s="112"/>
      <c r="K95" s="57"/>
      <c r="L95" s="113"/>
      <c r="M95" s="114">
        <v>3410.618408203125</v>
      </c>
      <c r="N95" s="114">
        <v>3979.144287109375</v>
      </c>
      <c r="O95" s="115" t="s">
        <v>782</v>
      </c>
      <c r="P95" s="116"/>
      <c r="Q95" s="116"/>
      <c r="R95" s="147">
        <v>3</v>
      </c>
      <c r="S95" s="106"/>
      <c r="T95" s="106"/>
      <c r="U95" s="148">
        <v>94.982200000000006</v>
      </c>
      <c r="V95" s="148">
        <v>1.325E-3</v>
      </c>
      <c r="W95" s="148">
        <v>8.5260000000000006E-3</v>
      </c>
      <c r="X95" s="148">
        <v>0.82167100000000004</v>
      </c>
      <c r="Y95" s="148">
        <v>0</v>
      </c>
      <c r="Z95" s="107"/>
      <c r="AA95" s="117">
        <v>95</v>
      </c>
      <c r="AB9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5" s="118"/>
      <c r="AD95" s="145" t="str">
        <f>REPLACE(INDEX(GroupVertices[Group], MATCH(Vertices[[#This Row],[Vertex]],GroupVertices[Vertex],0)),1,1,"")</f>
        <v>5</v>
      </c>
      <c r="AE95" s="2"/>
      <c r="AI95" s="3"/>
    </row>
    <row r="96" spans="1:35" x14ac:dyDescent="0.3">
      <c r="A96" s="108" t="s">
        <v>322</v>
      </c>
      <c r="B96" s="109"/>
      <c r="C96" s="109"/>
      <c r="D96" s="110"/>
      <c r="E96" s="111"/>
      <c r="F96" s="109"/>
      <c r="G96" s="109"/>
      <c r="H96" s="57" t="s">
        <v>699</v>
      </c>
      <c r="I96" s="112"/>
      <c r="J96" s="112"/>
      <c r="K96" s="57"/>
      <c r="L96" s="113"/>
      <c r="M96" s="114">
        <v>3649.816650390625</v>
      </c>
      <c r="N96" s="114">
        <v>3440.0166015625</v>
      </c>
      <c r="O96" s="115" t="s">
        <v>782</v>
      </c>
      <c r="P96" s="116"/>
      <c r="Q96" s="116"/>
      <c r="R96" s="147">
        <v>14</v>
      </c>
      <c r="S96" s="106"/>
      <c r="T96" s="106"/>
      <c r="U96" s="148">
        <v>1703.199548</v>
      </c>
      <c r="V96" s="148">
        <v>1.495E-3</v>
      </c>
      <c r="W96" s="148">
        <v>2.7439999999999999E-2</v>
      </c>
      <c r="X96" s="148">
        <v>3.6558169999999999</v>
      </c>
      <c r="Y96" s="148">
        <v>0</v>
      </c>
      <c r="Z96" s="107"/>
      <c r="AA96" s="117">
        <v>96</v>
      </c>
      <c r="AB9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6" s="118"/>
      <c r="AD96" s="145" t="str">
        <f>REPLACE(INDEX(GroupVertices[Group], MATCH(Vertices[[#This Row],[Vertex]],GroupVertices[Vertex],0)),1,1,"")</f>
        <v>4</v>
      </c>
      <c r="AE96" s="2"/>
      <c r="AI96" s="3"/>
    </row>
    <row r="97" spans="1:35" x14ac:dyDescent="0.3">
      <c r="A97" s="108" t="s">
        <v>223</v>
      </c>
      <c r="B97" s="109"/>
      <c r="C97" s="109"/>
      <c r="D97" s="110"/>
      <c r="E97" s="111"/>
      <c r="F97" s="109"/>
      <c r="G97" s="109"/>
      <c r="H97" s="57" t="s">
        <v>223</v>
      </c>
      <c r="I97" s="112"/>
      <c r="J97" s="112"/>
      <c r="K97" s="57"/>
      <c r="L97" s="113"/>
      <c r="M97" s="114">
        <v>3511.05859375</v>
      </c>
      <c r="N97" s="114">
        <v>3091.69384765625</v>
      </c>
      <c r="O97" s="115" t="s">
        <v>782</v>
      </c>
      <c r="P97" s="116"/>
      <c r="Q97" s="116"/>
      <c r="R97" s="147">
        <v>3</v>
      </c>
      <c r="S97" s="106"/>
      <c r="T97" s="106"/>
      <c r="U97" s="148">
        <v>23.466208999999999</v>
      </c>
      <c r="V97" s="148">
        <v>1.217E-3</v>
      </c>
      <c r="W97" s="148">
        <v>7.7629999999999999E-3</v>
      </c>
      <c r="X97" s="148">
        <v>0.83569800000000005</v>
      </c>
      <c r="Y97" s="148">
        <v>0.33333333333333331</v>
      </c>
      <c r="Z97" s="107"/>
      <c r="AA97" s="117">
        <v>97</v>
      </c>
      <c r="AB9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7" s="118"/>
      <c r="AD97" s="145" t="str">
        <f>REPLACE(INDEX(GroupVertices[Group], MATCH(Vertices[[#This Row],[Vertex]],GroupVertices[Vertex],0)),1,1,"")</f>
        <v>4</v>
      </c>
      <c r="AE97" s="2"/>
      <c r="AI97" s="3"/>
    </row>
    <row r="98" spans="1:35" x14ac:dyDescent="0.3">
      <c r="A98" s="108" t="s">
        <v>312</v>
      </c>
      <c r="B98" s="109"/>
      <c r="C98" s="109"/>
      <c r="D98" s="110"/>
      <c r="E98" s="111"/>
      <c r="F98" s="109"/>
      <c r="G98" s="109"/>
      <c r="H98" s="57" t="s">
        <v>699</v>
      </c>
      <c r="I98" s="112"/>
      <c r="J98" s="112"/>
      <c r="K98" s="57"/>
      <c r="L98" s="113"/>
      <c r="M98" s="114">
        <v>3972.225830078125</v>
      </c>
      <c r="N98" s="114">
        <v>2716.64892578125</v>
      </c>
      <c r="O98" s="115" t="s">
        <v>782</v>
      </c>
      <c r="P98" s="116"/>
      <c r="Q98" s="116"/>
      <c r="R98" s="147">
        <v>15</v>
      </c>
      <c r="S98" s="106"/>
      <c r="T98" s="106"/>
      <c r="U98" s="148">
        <v>1769.0661110000001</v>
      </c>
      <c r="V98" s="148">
        <v>1.433E-3</v>
      </c>
      <c r="W98" s="148">
        <v>2.3168999999999999E-2</v>
      </c>
      <c r="X98" s="148">
        <v>4.1240769999999998</v>
      </c>
      <c r="Y98" s="148">
        <v>9.5238095238095247E-3</v>
      </c>
      <c r="Z98" s="107"/>
      <c r="AA98" s="117">
        <v>98</v>
      </c>
      <c r="AB9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8" s="118"/>
      <c r="AD98" s="145" t="str">
        <f>REPLACE(INDEX(GroupVertices[Group], MATCH(Vertices[[#This Row],[Vertex]],GroupVertices[Vertex],0)),1,1,"")</f>
        <v>4</v>
      </c>
      <c r="AE98" s="2"/>
      <c r="AI98" s="3"/>
    </row>
    <row r="99" spans="1:35" x14ac:dyDescent="0.3">
      <c r="A99" s="108" t="s">
        <v>573</v>
      </c>
      <c r="B99" s="109"/>
      <c r="C99" s="109"/>
      <c r="D99" s="110"/>
      <c r="E99" s="111"/>
      <c r="F99" s="109"/>
      <c r="G99" s="109"/>
      <c r="H99" s="57" t="s">
        <v>573</v>
      </c>
      <c r="I99" s="112"/>
      <c r="J99" s="112"/>
      <c r="K99" s="57"/>
      <c r="L99" s="113"/>
      <c r="M99" s="114">
        <v>2926.33154296875</v>
      </c>
      <c r="N99" s="114">
        <v>2613.284423828125</v>
      </c>
      <c r="O99" s="115" t="s">
        <v>782</v>
      </c>
      <c r="P99" s="116"/>
      <c r="Q99" s="116"/>
      <c r="R99" s="147"/>
      <c r="S99" s="106"/>
      <c r="T99" s="106"/>
      <c r="U99" s="148"/>
      <c r="V99" s="148"/>
      <c r="W99" s="148"/>
      <c r="X99" s="148"/>
      <c r="Y99" s="148"/>
      <c r="Z99" s="107"/>
      <c r="AA99" s="117">
        <v>99</v>
      </c>
      <c r="AB9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99" s="118"/>
      <c r="AD99" s="145" t="str">
        <f>REPLACE(INDEX(GroupVertices[Group], MATCH(Vertices[[#This Row],[Vertex]],GroupVertices[Vertex],0)),1,1,"")</f>
        <v>9</v>
      </c>
      <c r="AE99" s="2"/>
      <c r="AI99" s="3"/>
    </row>
    <row r="100" spans="1:35" x14ac:dyDescent="0.3">
      <c r="A100" s="108" t="s">
        <v>683</v>
      </c>
      <c r="B100" s="109"/>
      <c r="C100" s="109"/>
      <c r="D100" s="110"/>
      <c r="E100" s="111"/>
      <c r="F100" s="109"/>
      <c r="G100" s="109"/>
      <c r="H100" s="57" t="s">
        <v>705</v>
      </c>
      <c r="I100" s="112"/>
      <c r="J100" s="112"/>
      <c r="K100" s="57"/>
      <c r="L100" s="113"/>
      <c r="M100" s="114">
        <v>847.7176513671875</v>
      </c>
      <c r="N100" s="114">
        <v>4210.5869140625</v>
      </c>
      <c r="O100" s="115" t="s">
        <v>782</v>
      </c>
      <c r="P100" s="116"/>
      <c r="Q100" s="116"/>
      <c r="R100" s="147">
        <v>1</v>
      </c>
      <c r="S100" s="106"/>
      <c r="T100" s="106"/>
      <c r="U100" s="148">
        <v>0</v>
      </c>
      <c r="V100" s="148">
        <v>1.008E-3</v>
      </c>
      <c r="W100" s="148">
        <v>8.43E-4</v>
      </c>
      <c r="X100" s="148">
        <v>0.44682100000000002</v>
      </c>
      <c r="Y100" s="148">
        <v>0</v>
      </c>
      <c r="Z100" s="107"/>
      <c r="AA100" s="117">
        <v>100</v>
      </c>
      <c r="AB10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0" s="118"/>
      <c r="AD100" s="145" t="str">
        <f>REPLACE(INDEX(GroupVertices[Group], MATCH(Vertices[[#This Row],[Vertex]],GroupVertices[Vertex],0)),1,1,"")</f>
        <v>4</v>
      </c>
      <c r="AE100" s="2"/>
      <c r="AI100" s="3"/>
    </row>
    <row r="101" spans="1:35" x14ac:dyDescent="0.3">
      <c r="A101" s="108" t="s">
        <v>301</v>
      </c>
      <c r="B101" s="109"/>
      <c r="C101" s="109"/>
      <c r="D101" s="110"/>
      <c r="E101" s="111"/>
      <c r="F101" s="109"/>
      <c r="G101" s="109"/>
      <c r="H101" s="57" t="s">
        <v>301</v>
      </c>
      <c r="I101" s="112"/>
      <c r="J101" s="112"/>
      <c r="K101" s="57"/>
      <c r="L101" s="113"/>
      <c r="M101" s="114">
        <v>2479.535400390625</v>
      </c>
      <c r="N101" s="114">
        <v>3797.689453125</v>
      </c>
      <c r="O101" s="115" t="s">
        <v>782</v>
      </c>
      <c r="P101" s="116"/>
      <c r="Q101" s="116"/>
      <c r="R101" s="147">
        <v>2</v>
      </c>
      <c r="S101" s="106"/>
      <c r="T101" s="106"/>
      <c r="U101" s="148">
        <v>39.930303000000002</v>
      </c>
      <c r="V101" s="148">
        <v>1.152E-3</v>
      </c>
      <c r="W101" s="148">
        <v>2.99E-3</v>
      </c>
      <c r="X101" s="148">
        <v>0.64082799999999995</v>
      </c>
      <c r="Y101" s="148">
        <v>0</v>
      </c>
      <c r="Z101" s="107"/>
      <c r="AA101" s="117">
        <v>101</v>
      </c>
      <c r="AB10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1" s="118"/>
      <c r="AD101" s="145" t="str">
        <f>REPLACE(INDEX(GroupVertices[Group], MATCH(Vertices[[#This Row],[Vertex]],GroupVertices[Vertex],0)),1,1,"")</f>
        <v>4</v>
      </c>
      <c r="AE101" s="2"/>
      <c r="AI101" s="3"/>
    </row>
    <row r="102" spans="1:35" x14ac:dyDescent="0.3">
      <c r="A102" s="119" t="s">
        <v>344</v>
      </c>
      <c r="B102" s="132"/>
      <c r="C102" s="132"/>
      <c r="D102" s="133"/>
      <c r="E102" s="134"/>
      <c r="F102" s="132"/>
      <c r="G102" s="132"/>
      <c r="H102" s="135" t="s">
        <v>344</v>
      </c>
      <c r="I102" s="136"/>
      <c r="J102" s="136"/>
      <c r="K102" s="135"/>
      <c r="L102" s="137"/>
      <c r="M102" s="138">
        <v>70.295112609863281</v>
      </c>
      <c r="N102" s="138">
        <v>3521.24755859375</v>
      </c>
      <c r="O102" s="115" t="s">
        <v>782</v>
      </c>
      <c r="P102" s="139"/>
      <c r="Q102" s="139"/>
      <c r="R102" s="147">
        <v>1</v>
      </c>
      <c r="S102" s="140"/>
      <c r="T102" s="140"/>
      <c r="U102" s="148">
        <v>0</v>
      </c>
      <c r="V102" s="148">
        <v>9.6100000000000005E-4</v>
      </c>
      <c r="W102" s="148">
        <v>4.8700000000000002E-4</v>
      </c>
      <c r="X102" s="148">
        <v>0.52211300000000005</v>
      </c>
      <c r="Y102" s="148">
        <v>0</v>
      </c>
      <c r="Z102" s="141"/>
      <c r="AA102" s="142">
        <v>102</v>
      </c>
      <c r="AB102" s="142"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2" s="131"/>
      <c r="AD102" s="145" t="str">
        <f>REPLACE(INDEX(GroupVertices[Group], MATCH(Vertices[[#This Row],[Vertex]],GroupVertices[Vertex],0)),1,1,"")</f>
        <v>8</v>
      </c>
      <c r="AE102" s="2"/>
      <c r="AI102" s="3"/>
    </row>
    <row r="103" spans="1:35" x14ac:dyDescent="0.3">
      <c r="A103" s="108" t="s">
        <v>205</v>
      </c>
      <c r="B103" s="109"/>
      <c r="C103" s="109"/>
      <c r="D103" s="110"/>
      <c r="E103" s="111"/>
      <c r="F103" s="109"/>
      <c r="G103" s="109"/>
      <c r="H103" s="57" t="s">
        <v>205</v>
      </c>
      <c r="I103" s="112"/>
      <c r="J103" s="112"/>
      <c r="K103" s="57"/>
      <c r="L103" s="113"/>
      <c r="M103" s="114">
        <v>4340.44580078125</v>
      </c>
      <c r="N103" s="114">
        <v>6003.484375</v>
      </c>
      <c r="O103" s="115" t="s">
        <v>782</v>
      </c>
      <c r="P103" s="116"/>
      <c r="Q103" s="116"/>
      <c r="R103" s="147">
        <v>2</v>
      </c>
      <c r="S103" s="106"/>
      <c r="T103" s="106"/>
      <c r="U103" s="148">
        <v>120.085714</v>
      </c>
      <c r="V103" s="148">
        <v>1.124E-3</v>
      </c>
      <c r="W103" s="148">
        <v>1.392E-3</v>
      </c>
      <c r="X103" s="148">
        <v>0.68208899999999995</v>
      </c>
      <c r="Y103" s="148">
        <v>0</v>
      </c>
      <c r="Z103" s="107"/>
      <c r="AA103" s="117">
        <v>103</v>
      </c>
      <c r="AB10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3" s="118"/>
      <c r="AD103" s="145" t="str">
        <f>REPLACE(INDEX(GroupVertices[Group], MATCH(Vertices[[#This Row],[Vertex]],GroupVertices[Vertex],0)),1,1,"")</f>
        <v>2</v>
      </c>
      <c r="AE103" s="2"/>
      <c r="AI103" s="3"/>
    </row>
    <row r="104" spans="1:35" x14ac:dyDescent="0.3">
      <c r="A104" s="108" t="s">
        <v>285</v>
      </c>
      <c r="B104" s="109"/>
      <c r="C104" s="109"/>
      <c r="D104" s="110"/>
      <c r="E104" s="111"/>
      <c r="F104" s="109"/>
      <c r="G104" s="109"/>
      <c r="H104" s="57" t="s">
        <v>285</v>
      </c>
      <c r="I104" s="112"/>
      <c r="J104" s="112"/>
      <c r="K104" s="57"/>
      <c r="L104" s="113"/>
      <c r="M104" s="114">
        <v>2559.912353515625</v>
      </c>
      <c r="N104" s="114">
        <v>6830.77099609375</v>
      </c>
      <c r="O104" s="115" t="s">
        <v>782</v>
      </c>
      <c r="P104" s="116"/>
      <c r="Q104" s="116"/>
      <c r="R104" s="147">
        <v>1</v>
      </c>
      <c r="S104" s="106"/>
      <c r="T104" s="106"/>
      <c r="U104" s="148">
        <v>0</v>
      </c>
      <c r="V104" s="148">
        <v>1.0709999999999999E-3</v>
      </c>
      <c r="W104" s="148">
        <v>1.39E-3</v>
      </c>
      <c r="X104" s="148">
        <v>0.40907100000000002</v>
      </c>
      <c r="Y104" s="148">
        <v>0</v>
      </c>
      <c r="Z104" s="107"/>
      <c r="AA104" s="117">
        <v>104</v>
      </c>
      <c r="AB10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4" s="118"/>
      <c r="AD104" s="145" t="str">
        <f>REPLACE(INDEX(GroupVertices[Group], MATCH(Vertices[[#This Row],[Vertex]],GroupVertices[Vertex],0)),1,1,"")</f>
        <v>5</v>
      </c>
      <c r="AE104" s="2"/>
      <c r="AI104" s="3"/>
    </row>
    <row r="105" spans="1:35" x14ac:dyDescent="0.3">
      <c r="A105" s="108" t="s">
        <v>571</v>
      </c>
      <c r="B105" s="109"/>
      <c r="C105" s="109"/>
      <c r="D105" s="110"/>
      <c r="E105" s="111"/>
      <c r="F105" s="109"/>
      <c r="G105" s="109"/>
      <c r="H105" s="57" t="s">
        <v>571</v>
      </c>
      <c r="I105" s="112"/>
      <c r="J105" s="112"/>
      <c r="K105" s="57"/>
      <c r="L105" s="113"/>
      <c r="M105" s="114">
        <v>2002.021240234375</v>
      </c>
      <c r="N105" s="114">
        <v>4470.36767578125</v>
      </c>
      <c r="O105" s="115" t="s">
        <v>782</v>
      </c>
      <c r="P105" s="116"/>
      <c r="Q105" s="116"/>
      <c r="R105" s="147"/>
      <c r="S105" s="106"/>
      <c r="T105" s="106"/>
      <c r="U105" s="148"/>
      <c r="V105" s="148"/>
      <c r="W105" s="148"/>
      <c r="X105" s="148"/>
      <c r="Y105" s="148"/>
      <c r="Z105" s="107"/>
      <c r="AA105" s="117">
        <v>105</v>
      </c>
      <c r="AB10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5" s="118"/>
      <c r="AD105" s="145" t="str">
        <f>REPLACE(INDEX(GroupVertices[Group], MATCH(Vertices[[#This Row],[Vertex]],GroupVertices[Vertex],0)),1,1,"")</f>
        <v>9</v>
      </c>
      <c r="AE105" s="2"/>
      <c r="AI105" s="3"/>
    </row>
    <row r="106" spans="1:35" x14ac:dyDescent="0.3">
      <c r="A106" s="108" t="s">
        <v>186</v>
      </c>
      <c r="B106" s="109"/>
      <c r="C106" s="109"/>
      <c r="D106" s="110"/>
      <c r="E106" s="111"/>
      <c r="F106" s="109"/>
      <c r="G106" s="109"/>
      <c r="H106" s="57" t="s">
        <v>186</v>
      </c>
      <c r="I106" s="112"/>
      <c r="J106" s="112"/>
      <c r="K106" s="57"/>
      <c r="L106" s="113"/>
      <c r="M106" s="114">
        <v>4711.01220703125</v>
      </c>
      <c r="N106" s="114">
        <v>6243.58056640625</v>
      </c>
      <c r="O106" s="115" t="s">
        <v>782</v>
      </c>
      <c r="P106" s="116"/>
      <c r="Q106" s="116"/>
      <c r="R106" s="147">
        <v>3</v>
      </c>
      <c r="S106" s="106"/>
      <c r="T106" s="106"/>
      <c r="U106" s="148">
        <v>241.32934700000001</v>
      </c>
      <c r="V106" s="148">
        <v>1.23E-3</v>
      </c>
      <c r="W106" s="148">
        <v>5.9410000000000001E-3</v>
      </c>
      <c r="X106" s="148">
        <v>0.92447299999999999</v>
      </c>
      <c r="Y106" s="148">
        <v>0</v>
      </c>
      <c r="Z106" s="107"/>
      <c r="AA106" s="117">
        <v>106</v>
      </c>
      <c r="AB10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6" s="118"/>
      <c r="AD106" s="145" t="str">
        <f>REPLACE(INDEX(GroupVertices[Group], MATCH(Vertices[[#This Row],[Vertex]],GroupVertices[Vertex],0)),1,1,"")</f>
        <v>1</v>
      </c>
      <c r="AE106" s="2"/>
      <c r="AI106" s="3"/>
    </row>
    <row r="107" spans="1:35" x14ac:dyDescent="0.3">
      <c r="A107" s="108" t="s">
        <v>249</v>
      </c>
      <c r="B107" s="109"/>
      <c r="C107" s="109"/>
      <c r="D107" s="110"/>
      <c r="E107" s="111"/>
      <c r="F107" s="109"/>
      <c r="G107" s="109"/>
      <c r="H107" s="57" t="s">
        <v>706</v>
      </c>
      <c r="I107" s="112"/>
      <c r="J107" s="112"/>
      <c r="K107" s="57"/>
      <c r="L107" s="113"/>
      <c r="M107" s="114">
        <v>3027.52587890625</v>
      </c>
      <c r="N107" s="114">
        <v>6099.49658203125</v>
      </c>
      <c r="O107" s="115" t="s">
        <v>782</v>
      </c>
      <c r="P107" s="116"/>
      <c r="Q107" s="116"/>
      <c r="R107" s="147">
        <v>2</v>
      </c>
      <c r="S107" s="106"/>
      <c r="T107" s="106"/>
      <c r="U107" s="148">
        <v>25.442857</v>
      </c>
      <c r="V107" s="148">
        <v>1.214E-3</v>
      </c>
      <c r="W107" s="148">
        <v>3.751E-3</v>
      </c>
      <c r="X107" s="148">
        <v>0.66880300000000004</v>
      </c>
      <c r="Y107" s="148">
        <v>0</v>
      </c>
      <c r="Z107" s="107"/>
      <c r="AA107" s="117">
        <v>107</v>
      </c>
      <c r="AB10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7" s="118"/>
      <c r="AD107" s="145" t="str">
        <f>REPLACE(INDEX(GroupVertices[Group], MATCH(Vertices[[#This Row],[Vertex]],GroupVertices[Vertex],0)),1,1,"")</f>
        <v>1</v>
      </c>
      <c r="AE107" s="2"/>
      <c r="AI107" s="3"/>
    </row>
    <row r="108" spans="1:35" x14ac:dyDescent="0.3">
      <c r="A108" s="108" t="s">
        <v>316</v>
      </c>
      <c r="B108" s="109"/>
      <c r="C108" s="109"/>
      <c r="D108" s="110"/>
      <c r="E108" s="111"/>
      <c r="F108" s="109"/>
      <c r="G108" s="109"/>
      <c r="H108" s="57" t="s">
        <v>316</v>
      </c>
      <c r="I108" s="112"/>
      <c r="J108" s="112"/>
      <c r="K108" s="57"/>
      <c r="L108" s="113"/>
      <c r="M108" s="114">
        <v>4283.7177734375</v>
      </c>
      <c r="N108" s="114">
        <v>3986.668701171875</v>
      </c>
      <c r="O108" s="115" t="s">
        <v>782</v>
      </c>
      <c r="P108" s="116"/>
      <c r="Q108" s="116"/>
      <c r="R108" s="147">
        <v>9</v>
      </c>
      <c r="S108" s="106"/>
      <c r="T108" s="106"/>
      <c r="U108" s="148">
        <v>3094.5632989999999</v>
      </c>
      <c r="V108" s="148">
        <v>1.6050000000000001E-3</v>
      </c>
      <c r="W108" s="148">
        <v>2.6481000000000001E-2</v>
      </c>
      <c r="X108" s="148">
        <v>2.371391</v>
      </c>
      <c r="Y108" s="148">
        <v>2.7777777777777776E-2</v>
      </c>
      <c r="Z108" s="107"/>
      <c r="AA108" s="117">
        <v>108</v>
      </c>
      <c r="AB10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8" s="118"/>
      <c r="AD108" s="145" t="str">
        <f>REPLACE(INDEX(GroupVertices[Group], MATCH(Vertices[[#This Row],[Vertex]],GroupVertices[Vertex],0)),1,1,"")</f>
        <v>3</v>
      </c>
      <c r="AE108" s="2"/>
      <c r="AI108" s="3"/>
    </row>
    <row r="109" spans="1:35" x14ac:dyDescent="0.3">
      <c r="A109" s="108" t="s">
        <v>328</v>
      </c>
      <c r="B109" s="109"/>
      <c r="C109" s="109"/>
      <c r="D109" s="110"/>
      <c r="E109" s="111"/>
      <c r="F109" s="109"/>
      <c r="G109" s="109"/>
      <c r="H109" s="57" t="s">
        <v>328</v>
      </c>
      <c r="I109" s="112"/>
      <c r="J109" s="112"/>
      <c r="K109" s="57"/>
      <c r="L109" s="113"/>
      <c r="M109" s="114">
        <v>2163.098388671875</v>
      </c>
      <c r="N109" s="114">
        <v>4225.14599609375</v>
      </c>
      <c r="O109" s="115" t="s">
        <v>782</v>
      </c>
      <c r="P109" s="116"/>
      <c r="Q109" s="116"/>
      <c r="R109" s="147">
        <v>2</v>
      </c>
      <c r="S109" s="106"/>
      <c r="T109" s="106"/>
      <c r="U109" s="148">
        <v>20.677056</v>
      </c>
      <c r="V109" s="148">
        <v>1.1349999999999999E-3</v>
      </c>
      <c r="W109" s="148">
        <v>2.7070000000000002E-3</v>
      </c>
      <c r="X109" s="148">
        <v>0.69509399999999999</v>
      </c>
      <c r="Y109" s="148">
        <v>0</v>
      </c>
      <c r="Z109" s="107"/>
      <c r="AA109" s="117">
        <v>109</v>
      </c>
      <c r="AB10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09" s="118"/>
      <c r="AD109" s="145" t="str">
        <f>REPLACE(INDEX(GroupVertices[Group], MATCH(Vertices[[#This Row],[Vertex]],GroupVertices[Vertex],0)),1,1,"")</f>
        <v>9</v>
      </c>
      <c r="AE109" s="2"/>
      <c r="AI109" s="3"/>
    </row>
    <row r="110" spans="1:35" x14ac:dyDescent="0.3">
      <c r="A110" s="108" t="s">
        <v>341</v>
      </c>
      <c r="B110" s="109"/>
      <c r="C110" s="109"/>
      <c r="D110" s="110"/>
      <c r="E110" s="111"/>
      <c r="F110" s="109"/>
      <c r="G110" s="109"/>
      <c r="H110" s="57" t="s">
        <v>341</v>
      </c>
      <c r="I110" s="112"/>
      <c r="J110" s="112"/>
      <c r="K110" s="57"/>
      <c r="L110" s="113"/>
      <c r="M110" s="114">
        <v>3173.779052734375</v>
      </c>
      <c r="N110" s="114">
        <v>6867.3828125</v>
      </c>
      <c r="O110" s="115" t="s">
        <v>782</v>
      </c>
      <c r="P110" s="116"/>
      <c r="Q110" s="116"/>
      <c r="R110" s="147">
        <v>1</v>
      </c>
      <c r="S110" s="106"/>
      <c r="T110" s="106"/>
      <c r="U110" s="148">
        <v>0</v>
      </c>
      <c r="V110" s="148">
        <v>1.057E-3</v>
      </c>
      <c r="W110" s="148">
        <v>1.3290000000000001E-3</v>
      </c>
      <c r="X110" s="148">
        <v>0.42330699999999999</v>
      </c>
      <c r="Y110" s="148">
        <v>0</v>
      </c>
      <c r="Z110" s="107"/>
      <c r="AA110" s="117">
        <v>110</v>
      </c>
      <c r="AB11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0" s="118"/>
      <c r="AD110" s="145" t="str">
        <f>REPLACE(INDEX(GroupVertices[Group], MATCH(Vertices[[#This Row],[Vertex]],GroupVertices[Vertex],0)),1,1,"")</f>
        <v>1</v>
      </c>
      <c r="AE110" s="2"/>
      <c r="AI110" s="3"/>
    </row>
    <row r="111" spans="1:35" x14ac:dyDescent="0.3">
      <c r="A111" s="108" t="s">
        <v>254</v>
      </c>
      <c r="B111" s="109"/>
      <c r="C111" s="109"/>
      <c r="D111" s="110"/>
      <c r="E111" s="111"/>
      <c r="F111" s="109"/>
      <c r="G111" s="109"/>
      <c r="H111" s="57" t="s">
        <v>707</v>
      </c>
      <c r="I111" s="112"/>
      <c r="J111" s="112"/>
      <c r="K111" s="57"/>
      <c r="L111" s="113"/>
      <c r="M111" s="114">
        <v>6101.478515625</v>
      </c>
      <c r="N111" s="114">
        <v>5564.80517578125</v>
      </c>
      <c r="O111" s="115" t="s">
        <v>782</v>
      </c>
      <c r="P111" s="116"/>
      <c r="Q111" s="116"/>
      <c r="R111" s="147">
        <v>4</v>
      </c>
      <c r="S111" s="106"/>
      <c r="T111" s="106"/>
      <c r="U111" s="148">
        <v>235.71648999999999</v>
      </c>
      <c r="V111" s="148">
        <v>1.1850000000000001E-3</v>
      </c>
      <c r="W111" s="148">
        <v>2.6909999999999998E-3</v>
      </c>
      <c r="X111" s="148">
        <v>1.2229019999999999</v>
      </c>
      <c r="Y111" s="148">
        <v>0</v>
      </c>
      <c r="Z111" s="107"/>
      <c r="AA111" s="117">
        <v>111</v>
      </c>
      <c r="AB11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1" s="118"/>
      <c r="AD111" s="145" t="str">
        <f>REPLACE(INDEX(GroupVertices[Group], MATCH(Vertices[[#This Row],[Vertex]],GroupVertices[Vertex],0)),1,1,"")</f>
        <v>2</v>
      </c>
      <c r="AE111" s="2"/>
      <c r="AI111" s="3"/>
    </row>
    <row r="112" spans="1:35" x14ac:dyDescent="0.3">
      <c r="A112" s="108" t="s">
        <v>356</v>
      </c>
      <c r="B112" s="109"/>
      <c r="C112" s="109"/>
      <c r="D112" s="110"/>
      <c r="E112" s="111"/>
      <c r="F112" s="109"/>
      <c r="G112" s="109"/>
      <c r="H112" s="57" t="s">
        <v>356</v>
      </c>
      <c r="I112" s="112"/>
      <c r="J112" s="112"/>
      <c r="K112" s="57"/>
      <c r="L112" s="113"/>
      <c r="M112" s="114">
        <v>5849.388671875</v>
      </c>
      <c r="N112" s="114">
        <v>5993.3779296875</v>
      </c>
      <c r="O112" s="115" t="s">
        <v>782</v>
      </c>
      <c r="P112" s="116"/>
      <c r="Q112" s="116"/>
      <c r="R112" s="147">
        <v>1</v>
      </c>
      <c r="S112" s="106"/>
      <c r="T112" s="106"/>
      <c r="U112" s="148">
        <v>0</v>
      </c>
      <c r="V112" s="148">
        <v>1.1249999999999999E-3</v>
      </c>
      <c r="W112" s="148">
        <v>3.29E-3</v>
      </c>
      <c r="X112" s="148">
        <v>0.38825999999999999</v>
      </c>
      <c r="Y112" s="148">
        <v>0</v>
      </c>
      <c r="Z112" s="107"/>
      <c r="AA112" s="117">
        <v>112</v>
      </c>
      <c r="AB11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2" s="118"/>
      <c r="AD112" s="145" t="str">
        <f>REPLACE(INDEX(GroupVertices[Group], MATCH(Vertices[[#This Row],[Vertex]],GroupVertices[Vertex],0)),1,1,"")</f>
        <v>1</v>
      </c>
      <c r="AE112" s="2"/>
      <c r="AI112" s="3"/>
    </row>
    <row r="113" spans="1:35" x14ac:dyDescent="0.3">
      <c r="A113" s="108" t="s">
        <v>247</v>
      </c>
      <c r="B113" s="109"/>
      <c r="C113" s="109"/>
      <c r="D113" s="110"/>
      <c r="E113" s="111"/>
      <c r="F113" s="109"/>
      <c r="G113" s="109"/>
      <c r="H113" s="57" t="s">
        <v>247</v>
      </c>
      <c r="I113" s="112"/>
      <c r="J113" s="112"/>
      <c r="K113" s="57"/>
      <c r="L113" s="113"/>
      <c r="M113" s="114">
        <v>2631.156982421875</v>
      </c>
      <c r="N113" s="114">
        <v>6252.5859375</v>
      </c>
      <c r="O113" s="115" t="s">
        <v>782</v>
      </c>
      <c r="P113" s="116"/>
      <c r="Q113" s="116"/>
      <c r="R113" s="147">
        <v>1</v>
      </c>
      <c r="S113" s="106"/>
      <c r="T113" s="106"/>
      <c r="U113" s="148">
        <v>0</v>
      </c>
      <c r="V113" s="148">
        <v>1.106E-3</v>
      </c>
      <c r="W113" s="148">
        <v>2.4220000000000001E-3</v>
      </c>
      <c r="X113" s="148">
        <v>0.39549600000000001</v>
      </c>
      <c r="Y113" s="148">
        <v>0</v>
      </c>
      <c r="Z113" s="107"/>
      <c r="AA113" s="117">
        <v>113</v>
      </c>
      <c r="AB11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3" s="118"/>
      <c r="AD113" s="145" t="str">
        <f>REPLACE(INDEX(GroupVertices[Group], MATCH(Vertices[[#This Row],[Vertex]],GroupVertices[Vertex],0)),1,1,"")</f>
        <v>1</v>
      </c>
      <c r="AE113" s="2"/>
      <c r="AI113" s="3"/>
    </row>
    <row r="114" spans="1:35" x14ac:dyDescent="0.3">
      <c r="A114" s="108" t="s">
        <v>281</v>
      </c>
      <c r="B114" s="109"/>
      <c r="C114" s="109"/>
      <c r="D114" s="110">
        <v>5</v>
      </c>
      <c r="E114" s="111"/>
      <c r="F114" s="109"/>
      <c r="G114" s="109"/>
      <c r="H114" s="57" t="s">
        <v>281</v>
      </c>
      <c r="I114" s="112"/>
      <c r="J114" s="112"/>
      <c r="K114" s="57"/>
      <c r="L114" s="113"/>
      <c r="M114" s="114">
        <v>4235.96875</v>
      </c>
      <c r="N114" s="114">
        <v>4978.884765625</v>
      </c>
      <c r="O114" s="115" t="s">
        <v>782</v>
      </c>
      <c r="P114" s="116"/>
      <c r="Q114" s="116"/>
      <c r="R114" s="147">
        <v>9</v>
      </c>
      <c r="S114" s="106"/>
      <c r="T114" s="106"/>
      <c r="U114" s="148">
        <v>836.57827999999995</v>
      </c>
      <c r="V114" s="148">
        <v>1.377E-3</v>
      </c>
      <c r="W114" s="148">
        <v>1.2711E-2</v>
      </c>
      <c r="X114" s="148">
        <v>2.4704619999999999</v>
      </c>
      <c r="Y114" s="148">
        <v>0</v>
      </c>
      <c r="Z114" s="107"/>
      <c r="AA114" s="117">
        <v>114</v>
      </c>
      <c r="AB11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4" s="118"/>
      <c r="AD114" s="145" t="str">
        <f>REPLACE(INDEX(GroupVertices[Group], MATCH(Vertices[[#This Row],[Vertex]],GroupVertices[Vertex],0)),1,1,"")</f>
        <v>2</v>
      </c>
      <c r="AE114" s="2"/>
      <c r="AI114" s="3"/>
    </row>
    <row r="115" spans="1:35" x14ac:dyDescent="0.3">
      <c r="A115" s="108" t="s">
        <v>284</v>
      </c>
      <c r="B115" s="109"/>
      <c r="C115" s="109"/>
      <c r="D115" s="110">
        <v>5</v>
      </c>
      <c r="E115" s="111"/>
      <c r="F115" s="109"/>
      <c r="G115" s="109"/>
      <c r="H115" s="57" t="s">
        <v>284</v>
      </c>
      <c r="I115" s="112"/>
      <c r="J115" s="112"/>
      <c r="K115" s="57"/>
      <c r="L115" s="113"/>
      <c r="M115" s="114">
        <v>3473.15185546875</v>
      </c>
      <c r="N115" s="114">
        <v>6019.43896484375</v>
      </c>
      <c r="O115" s="115" t="s">
        <v>782</v>
      </c>
      <c r="P115" s="116"/>
      <c r="Q115" s="116"/>
      <c r="R115" s="147">
        <v>6</v>
      </c>
      <c r="S115" s="106"/>
      <c r="T115" s="106"/>
      <c r="U115" s="148">
        <v>778.85444500000006</v>
      </c>
      <c r="V115" s="148">
        <v>1.3829999999999999E-3</v>
      </c>
      <c r="W115" s="148">
        <v>8.6660000000000001E-3</v>
      </c>
      <c r="X115" s="148">
        <v>1.8287359999999999</v>
      </c>
      <c r="Y115" s="148">
        <v>0</v>
      </c>
      <c r="Z115" s="107"/>
      <c r="AA115" s="117">
        <v>115</v>
      </c>
      <c r="AB11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5" s="118"/>
      <c r="AD115" s="145" t="str">
        <f>REPLACE(INDEX(GroupVertices[Group], MATCH(Vertices[[#This Row],[Vertex]],GroupVertices[Vertex],0)),1,1,"")</f>
        <v>5</v>
      </c>
      <c r="AE115" s="2"/>
      <c r="AI115" s="3"/>
    </row>
    <row r="116" spans="1:35" x14ac:dyDescent="0.3">
      <c r="A116" s="108" t="s">
        <v>287</v>
      </c>
      <c r="B116" s="109"/>
      <c r="C116" s="109"/>
      <c r="D116" s="110">
        <v>5</v>
      </c>
      <c r="E116" s="111"/>
      <c r="F116" s="109"/>
      <c r="G116" s="109"/>
      <c r="H116" s="57" t="s">
        <v>708</v>
      </c>
      <c r="I116" s="112"/>
      <c r="J116" s="112"/>
      <c r="K116" s="57"/>
      <c r="L116" s="113"/>
      <c r="M116" s="114">
        <v>4106.61669921875</v>
      </c>
      <c r="N116" s="114">
        <v>4945.31298828125</v>
      </c>
      <c r="O116" s="115" t="s">
        <v>782</v>
      </c>
      <c r="P116" s="116"/>
      <c r="Q116" s="116"/>
      <c r="R116" s="147">
        <v>8</v>
      </c>
      <c r="S116" s="106"/>
      <c r="T116" s="106"/>
      <c r="U116" s="148">
        <v>1248.1155879999999</v>
      </c>
      <c r="V116" s="148">
        <v>1.4250000000000001E-3</v>
      </c>
      <c r="W116" s="148">
        <v>1.1073E-2</v>
      </c>
      <c r="X116" s="148">
        <v>2.4981420000000001</v>
      </c>
      <c r="Y116" s="148">
        <v>0</v>
      </c>
      <c r="Z116" s="107"/>
      <c r="AA116" s="117">
        <v>116</v>
      </c>
      <c r="AB11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6" s="118"/>
      <c r="AD116" s="145" t="str">
        <f>REPLACE(INDEX(GroupVertices[Group], MATCH(Vertices[[#This Row],[Vertex]],GroupVertices[Vertex],0)),1,1,"")</f>
        <v>11</v>
      </c>
      <c r="AE116" s="2"/>
      <c r="AI116" s="3"/>
    </row>
    <row r="117" spans="1:35" x14ac:dyDescent="0.3">
      <c r="A117" s="108" t="s">
        <v>252</v>
      </c>
      <c r="B117" s="109"/>
      <c r="C117" s="109"/>
      <c r="D117" s="110"/>
      <c r="E117" s="111"/>
      <c r="F117" s="109"/>
      <c r="G117" s="109"/>
      <c r="H117" s="57" t="s">
        <v>709</v>
      </c>
      <c r="I117" s="112"/>
      <c r="J117" s="112"/>
      <c r="K117" s="57"/>
      <c r="L117" s="113"/>
      <c r="M117" s="114">
        <v>4086.9814453125</v>
      </c>
      <c r="N117" s="114">
        <v>5105.73779296875</v>
      </c>
      <c r="O117" s="115" t="s">
        <v>782</v>
      </c>
      <c r="P117" s="116"/>
      <c r="Q117" s="116"/>
      <c r="R117" s="147">
        <v>3</v>
      </c>
      <c r="S117" s="106"/>
      <c r="T117" s="106"/>
      <c r="U117" s="148">
        <v>95.837863999999996</v>
      </c>
      <c r="V117" s="148">
        <v>1.2669999999999999E-3</v>
      </c>
      <c r="W117" s="148">
        <v>6.5440000000000003E-3</v>
      </c>
      <c r="X117" s="148">
        <v>0.87093799999999999</v>
      </c>
      <c r="Y117" s="148">
        <v>0</v>
      </c>
      <c r="Z117" s="107"/>
      <c r="AA117" s="117">
        <v>117</v>
      </c>
      <c r="AB11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7" s="118"/>
      <c r="AD117" s="145" t="str">
        <f>REPLACE(INDEX(GroupVertices[Group], MATCH(Vertices[[#This Row],[Vertex]],GroupVertices[Vertex],0)),1,1,"")</f>
        <v>3</v>
      </c>
      <c r="AE117" s="2"/>
      <c r="AI117" s="3"/>
    </row>
    <row r="118" spans="1:35" x14ac:dyDescent="0.3">
      <c r="A118" s="108" t="s">
        <v>375</v>
      </c>
      <c r="B118" s="109"/>
      <c r="C118" s="109"/>
      <c r="D118" s="110"/>
      <c r="E118" s="111"/>
      <c r="F118" s="109"/>
      <c r="G118" s="109"/>
      <c r="H118" s="57" t="s">
        <v>375</v>
      </c>
      <c r="I118" s="112"/>
      <c r="J118" s="112"/>
      <c r="K118" s="57"/>
      <c r="L118" s="113"/>
      <c r="M118" s="114">
        <v>5252.109375</v>
      </c>
      <c r="N118" s="114">
        <v>5786.53515625</v>
      </c>
      <c r="O118" s="115" t="s">
        <v>782</v>
      </c>
      <c r="P118" s="116"/>
      <c r="Q118" s="116"/>
      <c r="R118" s="147">
        <v>3</v>
      </c>
      <c r="S118" s="106"/>
      <c r="T118" s="106"/>
      <c r="U118" s="148">
        <v>193.148304</v>
      </c>
      <c r="V118" s="148">
        <v>1.196E-3</v>
      </c>
      <c r="W118" s="148">
        <v>3.545E-3</v>
      </c>
      <c r="X118" s="148">
        <v>0.88622100000000004</v>
      </c>
      <c r="Y118" s="148">
        <v>0</v>
      </c>
      <c r="Z118" s="107"/>
      <c r="AA118" s="117">
        <v>118</v>
      </c>
      <c r="AB11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8" s="118"/>
      <c r="AD118" s="145" t="str">
        <f>REPLACE(INDEX(GroupVertices[Group], MATCH(Vertices[[#This Row],[Vertex]],GroupVertices[Vertex],0)),1,1,"")</f>
        <v>5</v>
      </c>
      <c r="AE118" s="2"/>
      <c r="AI118" s="3"/>
    </row>
    <row r="119" spans="1:35" x14ac:dyDescent="0.3">
      <c r="A119" s="108" t="s">
        <v>351</v>
      </c>
      <c r="B119" s="109"/>
      <c r="C119" s="109"/>
      <c r="D119" s="110"/>
      <c r="E119" s="111"/>
      <c r="F119" s="109"/>
      <c r="G119" s="109"/>
      <c r="H119" s="57" t="s">
        <v>351</v>
      </c>
      <c r="I119" s="112"/>
      <c r="J119" s="112"/>
      <c r="K119" s="57"/>
      <c r="L119" s="113"/>
      <c r="M119" s="114">
        <v>7216.81982421875</v>
      </c>
      <c r="N119" s="114">
        <v>5001.3876953125</v>
      </c>
      <c r="O119" s="115" t="s">
        <v>782</v>
      </c>
      <c r="P119" s="116"/>
      <c r="Q119" s="116"/>
      <c r="R119" s="147">
        <v>8</v>
      </c>
      <c r="S119" s="106"/>
      <c r="T119" s="106"/>
      <c r="U119" s="148">
        <v>1294.4250930000001</v>
      </c>
      <c r="V119" s="148">
        <v>1.1999999999999999E-3</v>
      </c>
      <c r="W119" s="148">
        <v>9.0419999999999997E-3</v>
      </c>
      <c r="X119" s="148">
        <v>2.511978</v>
      </c>
      <c r="Y119" s="148">
        <v>0.10714285714285714</v>
      </c>
      <c r="Z119" s="107"/>
      <c r="AA119" s="117">
        <v>119</v>
      </c>
      <c r="AB11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19" s="118"/>
      <c r="AD119" s="145" t="str">
        <f>REPLACE(INDEX(GroupVertices[Group], MATCH(Vertices[[#This Row],[Vertex]],GroupVertices[Vertex],0)),1,1,"")</f>
        <v>3</v>
      </c>
      <c r="AE119" s="2"/>
      <c r="AI119" s="3"/>
    </row>
    <row r="120" spans="1:35" x14ac:dyDescent="0.3">
      <c r="A120" s="108" t="s">
        <v>272</v>
      </c>
      <c r="B120" s="109"/>
      <c r="C120" s="109"/>
      <c r="D120" s="110"/>
      <c r="E120" s="111"/>
      <c r="F120" s="109"/>
      <c r="G120" s="109"/>
      <c r="H120" s="57" t="s">
        <v>272</v>
      </c>
      <c r="I120" s="112"/>
      <c r="J120" s="112"/>
      <c r="K120" s="57"/>
      <c r="L120" s="113"/>
      <c r="M120" s="114">
        <v>3003.650146484375</v>
      </c>
      <c r="N120" s="114">
        <v>7967.03369140625</v>
      </c>
      <c r="O120" s="115" t="s">
        <v>782</v>
      </c>
      <c r="P120" s="116"/>
      <c r="Q120" s="116"/>
      <c r="R120" s="147">
        <v>1</v>
      </c>
      <c r="S120" s="106"/>
      <c r="T120" s="106"/>
      <c r="U120" s="148">
        <v>0</v>
      </c>
      <c r="V120" s="148">
        <v>1.0280000000000001E-3</v>
      </c>
      <c r="W120" s="148">
        <v>1.3829999999999999E-3</v>
      </c>
      <c r="X120" s="148">
        <v>0.42460599999999998</v>
      </c>
      <c r="Y120" s="148">
        <v>0</v>
      </c>
      <c r="Z120" s="107"/>
      <c r="AA120" s="117">
        <v>120</v>
      </c>
      <c r="AB12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0" s="118"/>
      <c r="AD120" s="145" t="str">
        <f>REPLACE(INDEX(GroupVertices[Group], MATCH(Vertices[[#This Row],[Vertex]],GroupVertices[Vertex],0)),1,1,"")</f>
        <v>6</v>
      </c>
      <c r="AE120" s="2"/>
      <c r="AI120" s="3"/>
    </row>
    <row r="121" spans="1:35" x14ac:dyDescent="0.3">
      <c r="A121" s="108" t="s">
        <v>251</v>
      </c>
      <c r="B121" s="109"/>
      <c r="C121" s="109"/>
      <c r="D121" s="110"/>
      <c r="E121" s="111"/>
      <c r="F121" s="109"/>
      <c r="G121" s="109"/>
      <c r="H121" s="57" t="s">
        <v>251</v>
      </c>
      <c r="I121" s="112"/>
      <c r="J121" s="112"/>
      <c r="K121" s="57"/>
      <c r="L121" s="113"/>
      <c r="M121" s="114">
        <v>2797.727294921875</v>
      </c>
      <c r="N121" s="114">
        <v>6377.740234375</v>
      </c>
      <c r="O121" s="115" t="s">
        <v>782</v>
      </c>
      <c r="P121" s="116"/>
      <c r="Q121" s="116"/>
      <c r="R121" s="147">
        <v>1</v>
      </c>
      <c r="S121" s="106"/>
      <c r="T121" s="106"/>
      <c r="U121" s="148">
        <v>0</v>
      </c>
      <c r="V121" s="148">
        <v>1.106E-3</v>
      </c>
      <c r="W121" s="148">
        <v>2.4220000000000001E-3</v>
      </c>
      <c r="X121" s="148">
        <v>0.39549600000000001</v>
      </c>
      <c r="Y121" s="148">
        <v>0</v>
      </c>
      <c r="Z121" s="107"/>
      <c r="AA121" s="117">
        <v>121</v>
      </c>
      <c r="AB12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1" s="118"/>
      <c r="AD121" s="145" t="str">
        <f>REPLACE(INDEX(GroupVertices[Group], MATCH(Vertices[[#This Row],[Vertex]],GroupVertices[Vertex],0)),1,1,"")</f>
        <v>1</v>
      </c>
      <c r="AE121" s="2"/>
      <c r="AI121" s="3"/>
    </row>
    <row r="122" spans="1:35" x14ac:dyDescent="0.3">
      <c r="A122" s="108" t="s">
        <v>333</v>
      </c>
      <c r="B122" s="109"/>
      <c r="C122" s="109"/>
      <c r="D122" s="110"/>
      <c r="E122" s="111"/>
      <c r="F122" s="109"/>
      <c r="G122" s="109"/>
      <c r="H122" s="57" t="s">
        <v>333</v>
      </c>
      <c r="I122" s="112"/>
      <c r="J122" s="112"/>
      <c r="K122" s="57"/>
      <c r="L122" s="113"/>
      <c r="M122" s="114">
        <v>70.295112609863281</v>
      </c>
      <c r="N122" s="114">
        <v>3072.067626953125</v>
      </c>
      <c r="O122" s="115" t="s">
        <v>782</v>
      </c>
      <c r="P122" s="116"/>
      <c r="Q122" s="116"/>
      <c r="R122" s="147">
        <v>1</v>
      </c>
      <c r="S122" s="106"/>
      <c r="T122" s="106"/>
      <c r="U122" s="148">
        <v>0</v>
      </c>
      <c r="V122" s="148">
        <v>9.6100000000000005E-4</v>
      </c>
      <c r="W122" s="148">
        <v>4.8700000000000002E-4</v>
      </c>
      <c r="X122" s="148">
        <v>0.52211300000000005</v>
      </c>
      <c r="Y122" s="148">
        <v>0</v>
      </c>
      <c r="Z122" s="107"/>
      <c r="AA122" s="117">
        <v>122</v>
      </c>
      <c r="AB12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2" s="118"/>
      <c r="AD122" s="145" t="str">
        <f>REPLACE(INDEX(GroupVertices[Group], MATCH(Vertices[[#This Row],[Vertex]],GroupVertices[Vertex],0)),1,1,"")</f>
        <v>8</v>
      </c>
      <c r="AE122" s="2"/>
      <c r="AI122" s="3"/>
    </row>
    <row r="123" spans="1:35" x14ac:dyDescent="0.3">
      <c r="A123" s="108" t="s">
        <v>368</v>
      </c>
      <c r="B123" s="109"/>
      <c r="C123" s="109"/>
      <c r="D123" s="110"/>
      <c r="E123" s="111"/>
      <c r="F123" s="109"/>
      <c r="G123" s="109"/>
      <c r="H123" s="57" t="s">
        <v>710</v>
      </c>
      <c r="I123" s="112"/>
      <c r="J123" s="112"/>
      <c r="K123" s="57"/>
      <c r="L123" s="113"/>
      <c r="M123" s="114">
        <v>2030.3438720703125</v>
      </c>
      <c r="N123" s="114">
        <v>5595.79833984375</v>
      </c>
      <c r="O123" s="115" t="s">
        <v>782</v>
      </c>
      <c r="P123" s="116"/>
      <c r="Q123" s="116"/>
      <c r="R123" s="147">
        <v>1</v>
      </c>
      <c r="S123" s="106"/>
      <c r="T123" s="106"/>
      <c r="U123" s="148">
        <v>0</v>
      </c>
      <c r="V123" s="148">
        <v>1.003E-3</v>
      </c>
      <c r="W123" s="148">
        <v>7.2599999999999997E-4</v>
      </c>
      <c r="X123" s="148">
        <v>0.423842</v>
      </c>
      <c r="Y123" s="148">
        <v>0</v>
      </c>
      <c r="Z123" s="107"/>
      <c r="AA123" s="117">
        <v>123</v>
      </c>
      <c r="AB12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3" s="118"/>
      <c r="AD123" s="145" t="str">
        <f>REPLACE(INDEX(GroupVertices[Group], MATCH(Vertices[[#This Row],[Vertex]],GroupVertices[Vertex],0)),1,1,"")</f>
        <v>2</v>
      </c>
      <c r="AE123" s="2"/>
      <c r="AI123" s="3"/>
    </row>
    <row r="124" spans="1:35" x14ac:dyDescent="0.3">
      <c r="A124" s="108" t="s">
        <v>377</v>
      </c>
      <c r="B124" s="109"/>
      <c r="C124" s="109"/>
      <c r="D124" s="110"/>
      <c r="E124" s="111"/>
      <c r="F124" s="109"/>
      <c r="G124" s="109"/>
      <c r="H124" s="57" t="s">
        <v>711</v>
      </c>
      <c r="I124" s="112"/>
      <c r="J124" s="112"/>
      <c r="K124" s="57"/>
      <c r="L124" s="113"/>
      <c r="M124" s="114">
        <v>5694.57861328125</v>
      </c>
      <c r="N124" s="114">
        <v>3574.927001953125</v>
      </c>
      <c r="O124" s="115" t="s">
        <v>782</v>
      </c>
      <c r="P124" s="116"/>
      <c r="Q124" s="116"/>
      <c r="R124" s="147">
        <v>1</v>
      </c>
      <c r="S124" s="106"/>
      <c r="T124" s="106"/>
      <c r="U124" s="148">
        <v>0</v>
      </c>
      <c r="V124" s="148">
        <v>1.0920000000000001E-3</v>
      </c>
      <c r="W124" s="148">
        <v>1.9220000000000001E-3</v>
      </c>
      <c r="X124" s="148">
        <v>0.40993099999999999</v>
      </c>
      <c r="Y124" s="148">
        <v>0</v>
      </c>
      <c r="Z124" s="107"/>
      <c r="AA124" s="117">
        <v>124</v>
      </c>
      <c r="AB12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4" s="118"/>
      <c r="AD124" s="145" t="str">
        <f>REPLACE(INDEX(GroupVertices[Group], MATCH(Vertices[[#This Row],[Vertex]],GroupVertices[Vertex],0)),1,1,"")</f>
        <v>2</v>
      </c>
      <c r="AE124" s="2"/>
      <c r="AI124" s="3"/>
    </row>
    <row r="125" spans="1:35" x14ac:dyDescent="0.3">
      <c r="A125" s="108" t="s">
        <v>327</v>
      </c>
      <c r="B125" s="109"/>
      <c r="C125" s="109"/>
      <c r="D125" s="110"/>
      <c r="E125" s="111"/>
      <c r="F125" s="109"/>
      <c r="G125" s="109"/>
      <c r="H125" s="57" t="s">
        <v>327</v>
      </c>
      <c r="I125" s="112"/>
      <c r="J125" s="112"/>
      <c r="K125" s="57"/>
      <c r="L125" s="113"/>
      <c r="M125" s="114">
        <v>2746.757080078125</v>
      </c>
      <c r="N125" s="114">
        <v>803.5</v>
      </c>
      <c r="O125" s="115" t="s">
        <v>782</v>
      </c>
      <c r="P125" s="116"/>
      <c r="Q125" s="116"/>
      <c r="R125" s="147">
        <v>1</v>
      </c>
      <c r="S125" s="106"/>
      <c r="T125" s="106"/>
      <c r="U125" s="148">
        <v>0</v>
      </c>
      <c r="V125" s="148">
        <v>9.6100000000000005E-4</v>
      </c>
      <c r="W125" s="148">
        <v>4.8700000000000002E-4</v>
      </c>
      <c r="X125" s="148">
        <v>0.52211300000000005</v>
      </c>
      <c r="Y125" s="148">
        <v>0</v>
      </c>
      <c r="Z125" s="107"/>
      <c r="AA125" s="117">
        <v>125</v>
      </c>
      <c r="AB12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5" s="118"/>
      <c r="AD125" s="145" t="str">
        <f>REPLACE(INDEX(GroupVertices[Group], MATCH(Vertices[[#This Row],[Vertex]],GroupVertices[Vertex],0)),1,1,"")</f>
        <v>8</v>
      </c>
      <c r="AE125" s="2"/>
      <c r="AI125" s="3"/>
    </row>
    <row r="126" spans="1:35" x14ac:dyDescent="0.3">
      <c r="A126" s="108" t="s">
        <v>192</v>
      </c>
      <c r="B126" s="109"/>
      <c r="C126" s="109"/>
      <c r="D126" s="110"/>
      <c r="E126" s="111"/>
      <c r="F126" s="109"/>
      <c r="G126" s="109"/>
      <c r="H126" s="57" t="s">
        <v>712</v>
      </c>
      <c r="I126" s="112"/>
      <c r="J126" s="112"/>
      <c r="K126" s="57"/>
      <c r="L126" s="113"/>
      <c r="M126" s="114">
        <v>4428.3173828125</v>
      </c>
      <c r="N126" s="114">
        <v>9872.4658203125</v>
      </c>
      <c r="O126" s="115" t="s">
        <v>782</v>
      </c>
      <c r="P126" s="116"/>
      <c r="Q126" s="116"/>
      <c r="R126" s="147">
        <v>1</v>
      </c>
      <c r="S126" s="106"/>
      <c r="T126" s="106"/>
      <c r="U126" s="148">
        <v>0</v>
      </c>
      <c r="V126" s="148">
        <v>8.7500000000000002E-4</v>
      </c>
      <c r="W126" s="148">
        <v>1.6200000000000001E-4</v>
      </c>
      <c r="X126" s="148">
        <v>0.49934200000000001</v>
      </c>
      <c r="Y126" s="148">
        <v>0</v>
      </c>
      <c r="Z126" s="107"/>
      <c r="AA126" s="117">
        <v>126</v>
      </c>
      <c r="AB12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6" s="118"/>
      <c r="AD126" s="145" t="str">
        <f>REPLACE(INDEX(GroupVertices[Group], MATCH(Vertices[[#This Row],[Vertex]],GroupVertices[Vertex],0)),1,1,"")</f>
        <v>7</v>
      </c>
      <c r="AE126" s="2"/>
      <c r="AI126" s="3"/>
    </row>
    <row r="127" spans="1:35" x14ac:dyDescent="0.3">
      <c r="A127" s="108" t="s">
        <v>213</v>
      </c>
      <c r="B127" s="109"/>
      <c r="C127" s="109"/>
      <c r="D127" s="110"/>
      <c r="E127" s="111"/>
      <c r="F127" s="109"/>
      <c r="G127" s="109"/>
      <c r="H127" s="57" t="s">
        <v>213</v>
      </c>
      <c r="I127" s="112"/>
      <c r="J127" s="112"/>
      <c r="K127" s="57"/>
      <c r="L127" s="113"/>
      <c r="M127" s="114">
        <v>4020.498046875</v>
      </c>
      <c r="N127" s="114">
        <v>5492.033203125</v>
      </c>
      <c r="O127" s="115" t="s">
        <v>782</v>
      </c>
      <c r="P127" s="116"/>
      <c r="Q127" s="116"/>
      <c r="R127" s="147">
        <v>5</v>
      </c>
      <c r="S127" s="106"/>
      <c r="T127" s="106"/>
      <c r="U127" s="148">
        <v>796.789132</v>
      </c>
      <c r="V127" s="148">
        <v>1.353E-3</v>
      </c>
      <c r="W127" s="148">
        <v>1.1755E-2</v>
      </c>
      <c r="X127" s="148">
        <v>1.364657</v>
      </c>
      <c r="Y127" s="148">
        <v>0.1</v>
      </c>
      <c r="Z127" s="107"/>
      <c r="AA127" s="117">
        <v>127</v>
      </c>
      <c r="AB12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7" s="118"/>
      <c r="AD127" s="145" t="str">
        <f>REPLACE(INDEX(GroupVertices[Group], MATCH(Vertices[[#This Row],[Vertex]],GroupVertices[Vertex],0)),1,1,"")</f>
        <v>6</v>
      </c>
      <c r="AE127" s="2"/>
      <c r="AI127" s="3"/>
    </row>
    <row r="128" spans="1:35" x14ac:dyDescent="0.3">
      <c r="A128" s="108" t="s">
        <v>187</v>
      </c>
      <c r="B128" s="109"/>
      <c r="C128" s="109"/>
      <c r="D128" s="110"/>
      <c r="E128" s="111"/>
      <c r="F128" s="109"/>
      <c r="G128" s="109"/>
      <c r="H128" s="57" t="s">
        <v>187</v>
      </c>
      <c r="I128" s="112"/>
      <c r="J128" s="112"/>
      <c r="K128" s="57"/>
      <c r="L128" s="113"/>
      <c r="M128" s="114">
        <v>5402.17919921875</v>
      </c>
      <c r="N128" s="114">
        <v>5328.86572265625</v>
      </c>
      <c r="O128" s="115" t="s">
        <v>782</v>
      </c>
      <c r="P128" s="116"/>
      <c r="Q128" s="116"/>
      <c r="R128" s="147">
        <v>2</v>
      </c>
      <c r="S128" s="106"/>
      <c r="T128" s="106"/>
      <c r="U128" s="148">
        <v>161.35933499999999</v>
      </c>
      <c r="V128" s="148">
        <v>1.188E-3</v>
      </c>
      <c r="W128" s="148">
        <v>2.588E-3</v>
      </c>
      <c r="X128" s="148">
        <v>0.66817899999999997</v>
      </c>
      <c r="Y128" s="148">
        <v>0</v>
      </c>
      <c r="Z128" s="107"/>
      <c r="AA128" s="117">
        <v>128</v>
      </c>
      <c r="AB12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8" s="118"/>
      <c r="AD128" s="145" t="str">
        <f>REPLACE(INDEX(GroupVertices[Group], MATCH(Vertices[[#This Row],[Vertex]],GroupVertices[Vertex],0)),1,1,"")</f>
        <v>2</v>
      </c>
      <c r="AE128" s="2"/>
      <c r="AI128" s="3"/>
    </row>
    <row r="129" spans="1:35" x14ac:dyDescent="0.3">
      <c r="A129" s="108" t="s">
        <v>255</v>
      </c>
      <c r="B129" s="109"/>
      <c r="C129" s="109"/>
      <c r="D129" s="110"/>
      <c r="E129" s="111"/>
      <c r="F129" s="109"/>
      <c r="G129" s="109"/>
      <c r="H129" s="57" t="s">
        <v>255</v>
      </c>
      <c r="I129" s="112"/>
      <c r="J129" s="112"/>
      <c r="K129" s="57"/>
      <c r="L129" s="113"/>
      <c r="M129" s="114">
        <v>5964.939453125</v>
      </c>
      <c r="N129" s="114">
        <v>3886.554443359375</v>
      </c>
      <c r="O129" s="115" t="s">
        <v>782</v>
      </c>
      <c r="P129" s="116"/>
      <c r="Q129" s="116"/>
      <c r="R129" s="147">
        <v>1</v>
      </c>
      <c r="S129" s="106"/>
      <c r="T129" s="106"/>
      <c r="U129" s="148">
        <v>0</v>
      </c>
      <c r="V129" s="148">
        <v>1.1119999999999999E-3</v>
      </c>
      <c r="W129" s="148">
        <v>2.0830000000000002E-3</v>
      </c>
      <c r="X129" s="148">
        <v>0.392121</v>
      </c>
      <c r="Y129" s="148">
        <v>0</v>
      </c>
      <c r="Z129" s="107"/>
      <c r="AA129" s="117">
        <v>129</v>
      </c>
      <c r="AB12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29" s="118"/>
      <c r="AD129" s="145" t="str">
        <f>REPLACE(INDEX(GroupVertices[Group], MATCH(Vertices[[#This Row],[Vertex]],GroupVertices[Vertex],0)),1,1,"")</f>
        <v>5</v>
      </c>
      <c r="AE129" s="2"/>
      <c r="AI129" s="3"/>
    </row>
    <row r="130" spans="1:35" x14ac:dyDescent="0.3">
      <c r="A130" s="108" t="s">
        <v>334</v>
      </c>
      <c r="B130" s="109"/>
      <c r="C130" s="109"/>
      <c r="D130" s="110"/>
      <c r="E130" s="111"/>
      <c r="F130" s="109"/>
      <c r="G130" s="109"/>
      <c r="H130" s="57" t="s">
        <v>334</v>
      </c>
      <c r="I130" s="112"/>
      <c r="J130" s="112"/>
      <c r="K130" s="57"/>
      <c r="L130" s="113"/>
      <c r="M130" s="114">
        <v>5570.3388671875</v>
      </c>
      <c r="N130" s="114">
        <v>2293.979736328125</v>
      </c>
      <c r="O130" s="115" t="s">
        <v>782</v>
      </c>
      <c r="P130" s="116"/>
      <c r="Q130" s="116"/>
      <c r="R130" s="147">
        <v>1</v>
      </c>
      <c r="S130" s="106"/>
      <c r="T130" s="106"/>
      <c r="U130" s="148">
        <v>0</v>
      </c>
      <c r="V130" s="148">
        <v>1.0579999999999999E-3</v>
      </c>
      <c r="W130" s="148">
        <v>1.292E-3</v>
      </c>
      <c r="X130" s="148">
        <v>0.46053899999999998</v>
      </c>
      <c r="Y130" s="148">
        <v>0</v>
      </c>
      <c r="Z130" s="107"/>
      <c r="AA130" s="117">
        <v>130</v>
      </c>
      <c r="AB13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0" s="118"/>
      <c r="AD130" s="145" t="str">
        <f>REPLACE(INDEX(GroupVertices[Group], MATCH(Vertices[[#This Row],[Vertex]],GroupVertices[Vertex],0)),1,1,"")</f>
        <v>11</v>
      </c>
      <c r="AE130" s="2"/>
      <c r="AI130" s="3"/>
    </row>
    <row r="131" spans="1:35" x14ac:dyDescent="0.3">
      <c r="A131" s="108" t="s">
        <v>354</v>
      </c>
      <c r="B131" s="109"/>
      <c r="C131" s="109"/>
      <c r="D131" s="110"/>
      <c r="E131" s="111"/>
      <c r="F131" s="109"/>
      <c r="G131" s="109"/>
      <c r="H131" s="57" t="s">
        <v>354</v>
      </c>
      <c r="I131" s="112"/>
      <c r="J131" s="112"/>
      <c r="K131" s="57"/>
      <c r="L131" s="113"/>
      <c r="M131" s="114">
        <v>6046.39892578125</v>
      </c>
      <c r="N131" s="114">
        <v>5924.1162109375</v>
      </c>
      <c r="O131" s="115" t="s">
        <v>782</v>
      </c>
      <c r="P131" s="116"/>
      <c r="Q131" s="116"/>
      <c r="R131" s="147">
        <v>1</v>
      </c>
      <c r="S131" s="106"/>
      <c r="T131" s="106"/>
      <c r="U131" s="148">
        <v>0</v>
      </c>
      <c r="V131" s="148">
        <v>1.1249999999999999E-3</v>
      </c>
      <c r="W131" s="148">
        <v>3.29E-3</v>
      </c>
      <c r="X131" s="148">
        <v>0.38825999999999999</v>
      </c>
      <c r="Y131" s="148">
        <v>0</v>
      </c>
      <c r="Z131" s="107"/>
      <c r="AA131" s="117">
        <v>131</v>
      </c>
      <c r="AB13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1" s="118"/>
      <c r="AD131" s="145" t="str">
        <f>REPLACE(INDEX(GroupVertices[Group], MATCH(Vertices[[#This Row],[Vertex]],GroupVertices[Vertex],0)),1,1,"")</f>
        <v>1</v>
      </c>
      <c r="AE131" s="2"/>
      <c r="AI131" s="3"/>
    </row>
    <row r="132" spans="1:35" x14ac:dyDescent="0.3">
      <c r="A132" s="108" t="s">
        <v>384</v>
      </c>
      <c r="B132" s="109"/>
      <c r="C132" s="109"/>
      <c r="D132" s="110"/>
      <c r="E132" s="111"/>
      <c r="F132" s="109"/>
      <c r="G132" s="109"/>
      <c r="H132" s="57" t="s">
        <v>384</v>
      </c>
      <c r="I132" s="112"/>
      <c r="J132" s="112"/>
      <c r="K132" s="57"/>
      <c r="L132" s="113"/>
      <c r="M132" s="114">
        <v>5455.61767578125</v>
      </c>
      <c r="N132" s="114">
        <v>6850.01123046875</v>
      </c>
      <c r="O132" s="115" t="s">
        <v>782</v>
      </c>
      <c r="P132" s="116"/>
      <c r="Q132" s="116"/>
      <c r="R132" s="147">
        <v>4</v>
      </c>
      <c r="S132" s="106"/>
      <c r="T132" s="106"/>
      <c r="U132" s="148">
        <v>1244.2127370000001</v>
      </c>
      <c r="V132" s="148">
        <v>1.2199999999999999E-3</v>
      </c>
      <c r="W132" s="148">
        <v>1.6299999999999999E-3</v>
      </c>
      <c r="X132" s="148">
        <v>1.3058620000000001</v>
      </c>
      <c r="Y132" s="148">
        <v>0</v>
      </c>
      <c r="Z132" s="107"/>
      <c r="AA132" s="117">
        <v>132</v>
      </c>
      <c r="AB13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2" s="118"/>
      <c r="AD132" s="145" t="str">
        <f>REPLACE(INDEX(GroupVertices[Group], MATCH(Vertices[[#This Row],[Vertex]],GroupVertices[Vertex],0)),1,1,"")</f>
        <v>7</v>
      </c>
      <c r="AE132" s="2"/>
      <c r="AI132" s="3"/>
    </row>
    <row r="133" spans="1:35" x14ac:dyDescent="0.3">
      <c r="A133" s="108" t="s">
        <v>193</v>
      </c>
      <c r="B133" s="109"/>
      <c r="C133" s="109"/>
      <c r="D133" s="110"/>
      <c r="E133" s="111"/>
      <c r="F133" s="109"/>
      <c r="G133" s="109"/>
      <c r="H133" s="57" t="s">
        <v>384</v>
      </c>
      <c r="I133" s="112"/>
      <c r="J133" s="112"/>
      <c r="K133" s="57"/>
      <c r="L133" s="113"/>
      <c r="M133" s="114">
        <v>2813.10888671875</v>
      </c>
      <c r="N133" s="114">
        <v>3521.530029296875</v>
      </c>
      <c r="O133" s="115" t="s">
        <v>782</v>
      </c>
      <c r="P133" s="116"/>
      <c r="Q133" s="116"/>
      <c r="R133" s="147">
        <v>20</v>
      </c>
      <c r="S133" s="106"/>
      <c r="T133" s="106"/>
      <c r="U133" s="148">
        <v>5348.8891750000003</v>
      </c>
      <c r="V133" s="148">
        <v>1.6100000000000001E-3</v>
      </c>
      <c r="W133" s="148">
        <v>1.8429999999999998E-2</v>
      </c>
      <c r="X133" s="148">
        <v>6.6297610000000002</v>
      </c>
      <c r="Y133" s="148">
        <v>0</v>
      </c>
      <c r="Z133" s="107"/>
      <c r="AA133" s="117">
        <v>133</v>
      </c>
      <c r="AB13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3" s="118"/>
      <c r="AD133" s="145" t="str">
        <f>REPLACE(INDEX(GroupVertices[Group], MATCH(Vertices[[#This Row],[Vertex]],GroupVertices[Vertex],0)),1,1,"")</f>
        <v>8</v>
      </c>
      <c r="AE133" s="2"/>
      <c r="AI133" s="3"/>
    </row>
    <row r="134" spans="1:35" x14ac:dyDescent="0.3">
      <c r="A134" s="108" t="s">
        <v>215</v>
      </c>
      <c r="B134" s="109"/>
      <c r="C134" s="109"/>
      <c r="D134" s="110">
        <v>5</v>
      </c>
      <c r="E134" s="111"/>
      <c r="F134" s="109"/>
      <c r="G134" s="109"/>
      <c r="H134" s="57" t="s">
        <v>215</v>
      </c>
      <c r="I134" s="112"/>
      <c r="J134" s="112"/>
      <c r="K134" s="57"/>
      <c r="L134" s="113"/>
      <c r="M134" s="114">
        <v>3640.4677734375</v>
      </c>
      <c r="N134" s="114">
        <v>7155.64111328125</v>
      </c>
      <c r="O134" s="115" t="s">
        <v>782</v>
      </c>
      <c r="P134" s="116"/>
      <c r="Q134" s="116"/>
      <c r="R134" s="147">
        <v>14</v>
      </c>
      <c r="S134" s="106"/>
      <c r="T134" s="106"/>
      <c r="U134" s="148">
        <v>1983.7972830000001</v>
      </c>
      <c r="V134" s="148">
        <v>1.312E-3</v>
      </c>
      <c r="W134" s="148">
        <v>8.6219999999999995E-3</v>
      </c>
      <c r="X134" s="148">
        <v>4.5229330000000001</v>
      </c>
      <c r="Y134" s="148">
        <v>1.098901098901099E-2</v>
      </c>
      <c r="Z134" s="107"/>
      <c r="AA134" s="117">
        <v>134</v>
      </c>
      <c r="AB13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4" s="118"/>
      <c r="AD134" s="145" t="str">
        <f>REPLACE(INDEX(GroupVertices[Group], MATCH(Vertices[[#This Row],[Vertex]],GroupVertices[Vertex],0)),1,1,"")</f>
        <v>6</v>
      </c>
      <c r="AE134" s="2"/>
      <c r="AI134" s="3"/>
    </row>
    <row r="135" spans="1:35" x14ac:dyDescent="0.3">
      <c r="A135" s="108" t="s">
        <v>264</v>
      </c>
      <c r="B135" s="109"/>
      <c r="C135" s="109"/>
      <c r="D135" s="110"/>
      <c r="E135" s="111"/>
      <c r="F135" s="109"/>
      <c r="G135" s="109"/>
      <c r="H135" s="57" t="s">
        <v>264</v>
      </c>
      <c r="I135" s="112"/>
      <c r="J135" s="112"/>
      <c r="K135" s="57"/>
      <c r="L135" s="113"/>
      <c r="M135" s="114">
        <v>8944.8779296875</v>
      </c>
      <c r="N135" s="114">
        <v>5245.86572265625</v>
      </c>
      <c r="O135" s="115" t="s">
        <v>782</v>
      </c>
      <c r="P135" s="116"/>
      <c r="Q135" s="116"/>
      <c r="R135" s="147">
        <v>3</v>
      </c>
      <c r="S135" s="106"/>
      <c r="T135" s="106"/>
      <c r="U135" s="148">
        <v>421</v>
      </c>
      <c r="V135" s="148">
        <v>9.6199999999999996E-4</v>
      </c>
      <c r="W135" s="148">
        <v>1.529E-3</v>
      </c>
      <c r="X135" s="148">
        <v>1.2962640000000001</v>
      </c>
      <c r="Y135" s="148">
        <v>0</v>
      </c>
      <c r="Z135" s="107"/>
      <c r="AA135" s="117">
        <v>135</v>
      </c>
      <c r="AB13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5" s="118"/>
      <c r="AD135" s="145" t="str">
        <f>REPLACE(INDEX(GroupVertices[Group], MATCH(Vertices[[#This Row],[Vertex]],GroupVertices[Vertex],0)),1,1,"")</f>
        <v>12</v>
      </c>
      <c r="AE135" s="2"/>
      <c r="AI135" s="3"/>
    </row>
    <row r="136" spans="1:35" x14ac:dyDescent="0.3">
      <c r="A136" s="108" t="s">
        <v>266</v>
      </c>
      <c r="B136" s="109"/>
      <c r="C136" s="109"/>
      <c r="D136" s="110"/>
      <c r="E136" s="111"/>
      <c r="F136" s="109"/>
      <c r="G136" s="109"/>
      <c r="H136" s="57" t="s">
        <v>266</v>
      </c>
      <c r="I136" s="112"/>
      <c r="J136" s="112"/>
      <c r="K136" s="57"/>
      <c r="L136" s="113"/>
      <c r="M136" s="114">
        <v>9907.6220703125</v>
      </c>
      <c r="N136" s="114">
        <v>5504.87548828125</v>
      </c>
      <c r="O136" s="115" t="s">
        <v>782</v>
      </c>
      <c r="P136" s="116"/>
      <c r="Q136" s="116"/>
      <c r="R136" s="147">
        <v>1</v>
      </c>
      <c r="S136" s="106"/>
      <c r="T136" s="106"/>
      <c r="U136" s="148">
        <v>0</v>
      </c>
      <c r="V136" s="148">
        <v>7.9900000000000001E-4</v>
      </c>
      <c r="W136" s="148">
        <v>2.4499999999999999E-4</v>
      </c>
      <c r="X136" s="148">
        <v>0.51727500000000004</v>
      </c>
      <c r="Y136" s="148">
        <v>0</v>
      </c>
      <c r="Z136" s="107"/>
      <c r="AA136" s="117">
        <v>136</v>
      </c>
      <c r="AB13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6" s="118"/>
      <c r="AD136" s="145" t="str">
        <f>REPLACE(INDEX(GroupVertices[Group], MATCH(Vertices[[#This Row],[Vertex]],GroupVertices[Vertex],0)),1,1,"")</f>
        <v>12</v>
      </c>
      <c r="AE136" s="2"/>
      <c r="AI136" s="3"/>
    </row>
    <row r="137" spans="1:35" x14ac:dyDescent="0.3">
      <c r="A137" s="108" t="s">
        <v>265</v>
      </c>
      <c r="B137" s="109"/>
      <c r="C137" s="109"/>
      <c r="D137" s="110"/>
      <c r="E137" s="111"/>
      <c r="F137" s="109"/>
      <c r="G137" s="109"/>
      <c r="H137" s="57" t="s">
        <v>265</v>
      </c>
      <c r="I137" s="112"/>
      <c r="J137" s="112"/>
      <c r="K137" s="57"/>
      <c r="L137" s="113"/>
      <c r="M137" s="114">
        <v>9934.1943359375</v>
      </c>
      <c r="N137" s="114">
        <v>5244.5712890625</v>
      </c>
      <c r="O137" s="115" t="s">
        <v>782</v>
      </c>
      <c r="P137" s="116"/>
      <c r="Q137" s="116"/>
      <c r="R137" s="147">
        <v>1</v>
      </c>
      <c r="S137" s="106"/>
      <c r="T137" s="106"/>
      <c r="U137" s="148">
        <v>0</v>
      </c>
      <c r="V137" s="148">
        <v>7.9900000000000001E-4</v>
      </c>
      <c r="W137" s="148">
        <v>2.4499999999999999E-4</v>
      </c>
      <c r="X137" s="148">
        <v>0.51727500000000004</v>
      </c>
      <c r="Y137" s="148">
        <v>0</v>
      </c>
      <c r="Z137" s="107"/>
      <c r="AA137" s="117">
        <v>137</v>
      </c>
      <c r="AB13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7" s="118"/>
      <c r="AD137" s="145" t="str">
        <f>REPLACE(INDEX(GroupVertices[Group], MATCH(Vertices[[#This Row],[Vertex]],GroupVertices[Vertex],0)),1,1,"")</f>
        <v>12</v>
      </c>
      <c r="AE137" s="2"/>
      <c r="AI137" s="3"/>
    </row>
    <row r="138" spans="1:35" x14ac:dyDescent="0.3">
      <c r="A138" s="108" t="s">
        <v>216</v>
      </c>
      <c r="B138" s="109"/>
      <c r="C138" s="109"/>
      <c r="D138" s="110"/>
      <c r="E138" s="111"/>
      <c r="F138" s="109"/>
      <c r="G138" s="109"/>
      <c r="H138" s="57" t="s">
        <v>216</v>
      </c>
      <c r="I138" s="112"/>
      <c r="J138" s="112"/>
      <c r="K138" s="57"/>
      <c r="L138" s="113"/>
      <c r="M138" s="114">
        <v>4873.1826171875</v>
      </c>
      <c r="N138" s="114">
        <v>5910.23779296875</v>
      </c>
      <c r="O138" s="115" t="s">
        <v>782</v>
      </c>
      <c r="P138" s="116"/>
      <c r="Q138" s="116"/>
      <c r="R138" s="147">
        <v>3</v>
      </c>
      <c r="S138" s="106"/>
      <c r="T138" s="106"/>
      <c r="U138" s="148">
        <v>659.58071800000005</v>
      </c>
      <c r="V138" s="148">
        <v>1.2899999999999999E-3</v>
      </c>
      <c r="W138" s="148">
        <v>4.6730000000000001E-3</v>
      </c>
      <c r="X138" s="148">
        <v>1.009307</v>
      </c>
      <c r="Y138" s="148">
        <v>0</v>
      </c>
      <c r="Z138" s="107"/>
      <c r="AA138" s="117">
        <v>138</v>
      </c>
      <c r="AB13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8" s="118"/>
      <c r="AD138" s="145" t="str">
        <f>REPLACE(INDEX(GroupVertices[Group], MATCH(Vertices[[#This Row],[Vertex]],GroupVertices[Vertex],0)),1,1,"")</f>
        <v>1</v>
      </c>
      <c r="AE138" s="2"/>
      <c r="AI138" s="3"/>
    </row>
    <row r="139" spans="1:35" x14ac:dyDescent="0.3">
      <c r="A139" s="108" t="s">
        <v>303</v>
      </c>
      <c r="B139" s="109"/>
      <c r="C139" s="109"/>
      <c r="D139" s="110"/>
      <c r="E139" s="111"/>
      <c r="F139" s="109"/>
      <c r="G139" s="109"/>
      <c r="H139" s="57" t="s">
        <v>303</v>
      </c>
      <c r="I139" s="112"/>
      <c r="J139" s="112"/>
      <c r="K139" s="57"/>
      <c r="L139" s="113"/>
      <c r="M139" s="114">
        <v>3350.691650390625</v>
      </c>
      <c r="N139" s="114">
        <v>2773.592041015625</v>
      </c>
      <c r="O139" s="115" t="s">
        <v>782</v>
      </c>
      <c r="P139" s="116"/>
      <c r="Q139" s="116"/>
      <c r="R139" s="147">
        <v>5</v>
      </c>
      <c r="S139" s="106"/>
      <c r="T139" s="106"/>
      <c r="U139" s="148">
        <v>411.98797000000002</v>
      </c>
      <c r="V139" s="148">
        <v>1.3500000000000001E-3</v>
      </c>
      <c r="W139" s="148">
        <v>1.4869E-2</v>
      </c>
      <c r="X139" s="148">
        <v>1.382843</v>
      </c>
      <c r="Y139" s="148">
        <v>0</v>
      </c>
      <c r="Z139" s="107"/>
      <c r="AA139" s="117">
        <v>139</v>
      </c>
      <c r="AB13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39" s="118"/>
      <c r="AD139" s="145" t="str">
        <f>REPLACE(INDEX(GroupVertices[Group], MATCH(Vertices[[#This Row],[Vertex]],GroupVertices[Vertex],0)),1,1,"")</f>
        <v>4</v>
      </c>
      <c r="AE139" s="2"/>
      <c r="AI139" s="3"/>
    </row>
    <row r="140" spans="1:35" x14ac:dyDescent="0.3">
      <c r="A140" s="108" t="s">
        <v>569</v>
      </c>
      <c r="B140" s="109"/>
      <c r="C140" s="109"/>
      <c r="D140" s="110"/>
      <c r="E140" s="111"/>
      <c r="F140" s="109"/>
      <c r="G140" s="109"/>
      <c r="H140" s="57" t="s">
        <v>569</v>
      </c>
      <c r="I140" s="112"/>
      <c r="J140" s="112"/>
      <c r="K140" s="57"/>
      <c r="L140" s="113"/>
      <c r="M140" s="114">
        <v>7279.42919921875</v>
      </c>
      <c r="N140" s="114">
        <v>2738.99658203125</v>
      </c>
      <c r="O140" s="115" t="s">
        <v>782</v>
      </c>
      <c r="P140" s="116"/>
      <c r="Q140" s="116"/>
      <c r="R140" s="147"/>
      <c r="S140" s="106"/>
      <c r="T140" s="106"/>
      <c r="U140" s="148"/>
      <c r="V140" s="148"/>
      <c r="W140" s="148"/>
      <c r="X140" s="148"/>
      <c r="Y140" s="148"/>
      <c r="Z140" s="107"/>
      <c r="AA140" s="117">
        <v>140</v>
      </c>
      <c r="AB14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0" s="118"/>
      <c r="AD140" s="145" t="str">
        <f>REPLACE(INDEX(GroupVertices[Group], MATCH(Vertices[[#This Row],[Vertex]],GroupVertices[Vertex],0)),1,1,"")</f>
        <v>1</v>
      </c>
      <c r="AE140" s="2"/>
      <c r="AI140" s="3"/>
    </row>
    <row r="141" spans="1:35" x14ac:dyDescent="0.3">
      <c r="A141" s="108" t="s">
        <v>245</v>
      </c>
      <c r="B141" s="109"/>
      <c r="C141" s="109"/>
      <c r="D141" s="110"/>
      <c r="E141" s="111"/>
      <c r="F141" s="109"/>
      <c r="G141" s="109"/>
      <c r="H141" s="57" t="s">
        <v>245</v>
      </c>
      <c r="I141" s="112"/>
      <c r="J141" s="112"/>
      <c r="K141" s="57"/>
      <c r="L141" s="113"/>
      <c r="M141" s="114">
        <v>3752.751953125</v>
      </c>
      <c r="N141" s="114">
        <v>4562.7080078125</v>
      </c>
      <c r="O141" s="115" t="s">
        <v>782</v>
      </c>
      <c r="P141" s="116"/>
      <c r="Q141" s="116"/>
      <c r="R141" s="147">
        <v>12</v>
      </c>
      <c r="S141" s="106"/>
      <c r="T141" s="106"/>
      <c r="U141" s="148">
        <v>3146.7403039999999</v>
      </c>
      <c r="V141" s="148">
        <v>1.5479999999999999E-3</v>
      </c>
      <c r="W141" s="148">
        <v>2.4236000000000001E-2</v>
      </c>
      <c r="X141" s="148">
        <v>3.2539060000000002</v>
      </c>
      <c r="Y141" s="148">
        <v>0</v>
      </c>
      <c r="Z141" s="107"/>
      <c r="AA141" s="117">
        <v>141</v>
      </c>
      <c r="AB14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1" s="118"/>
      <c r="AD141" s="145" t="str">
        <f>REPLACE(INDEX(GroupVertices[Group], MATCH(Vertices[[#This Row],[Vertex]],GroupVertices[Vertex],0)),1,1,"")</f>
        <v>1</v>
      </c>
      <c r="AE141" s="2"/>
      <c r="AI141" s="3"/>
    </row>
    <row r="142" spans="1:35" x14ac:dyDescent="0.3">
      <c r="A142" s="108" t="s">
        <v>379</v>
      </c>
      <c r="B142" s="109"/>
      <c r="C142" s="109"/>
      <c r="D142" s="110"/>
      <c r="E142" s="111"/>
      <c r="F142" s="109"/>
      <c r="G142" s="109"/>
      <c r="H142" s="57" t="s">
        <v>713</v>
      </c>
      <c r="I142" s="112"/>
      <c r="J142" s="112"/>
      <c r="K142" s="57"/>
      <c r="L142" s="113"/>
      <c r="M142" s="114">
        <v>3996.82958984375</v>
      </c>
      <c r="N142" s="114">
        <v>4228.25537109375</v>
      </c>
      <c r="O142" s="115" t="s">
        <v>782</v>
      </c>
      <c r="P142" s="116"/>
      <c r="Q142" s="116"/>
      <c r="R142" s="147">
        <v>2</v>
      </c>
      <c r="S142" s="106"/>
      <c r="T142" s="106"/>
      <c r="U142" s="148">
        <v>85.550353999999999</v>
      </c>
      <c r="V142" s="148">
        <v>1.279E-3</v>
      </c>
      <c r="W142" s="148">
        <v>5.8079999999999998E-3</v>
      </c>
      <c r="X142" s="148">
        <v>0.64041599999999999</v>
      </c>
      <c r="Y142" s="148">
        <v>0</v>
      </c>
      <c r="Z142" s="107"/>
      <c r="AA142" s="117">
        <v>142</v>
      </c>
      <c r="AB14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2" s="118"/>
      <c r="AD142" s="145" t="str">
        <f>REPLACE(INDEX(GroupVertices[Group], MATCH(Vertices[[#This Row],[Vertex]],GroupVertices[Vertex],0)),1,1,"")</f>
        <v>2</v>
      </c>
      <c r="AE142" s="2"/>
      <c r="AI142" s="3"/>
    </row>
    <row r="143" spans="1:35" x14ac:dyDescent="0.3">
      <c r="A143" s="108" t="s">
        <v>385</v>
      </c>
      <c r="B143" s="109"/>
      <c r="C143" s="109"/>
      <c r="D143" s="110"/>
      <c r="E143" s="111"/>
      <c r="F143" s="109"/>
      <c r="G143" s="109"/>
      <c r="H143" s="57" t="s">
        <v>714</v>
      </c>
      <c r="I143" s="112"/>
      <c r="J143" s="112"/>
      <c r="K143" s="57"/>
      <c r="L143" s="113"/>
      <c r="M143" s="114">
        <v>2725.360595703125</v>
      </c>
      <c r="N143" s="114">
        <v>4928.787109375</v>
      </c>
      <c r="O143" s="115" t="s">
        <v>782</v>
      </c>
      <c r="P143" s="116"/>
      <c r="Q143" s="116"/>
      <c r="R143" s="147">
        <v>1</v>
      </c>
      <c r="S143" s="106"/>
      <c r="T143" s="106"/>
      <c r="U143" s="148">
        <v>0</v>
      </c>
      <c r="V143" s="148">
        <v>1.1670000000000001E-3</v>
      </c>
      <c r="W143" s="148">
        <v>3.8869999999999998E-3</v>
      </c>
      <c r="X143" s="148">
        <v>0.38048500000000002</v>
      </c>
      <c r="Y143" s="148">
        <v>0</v>
      </c>
      <c r="Z143" s="107"/>
      <c r="AA143" s="117">
        <v>143</v>
      </c>
      <c r="AB14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3" s="118"/>
      <c r="AD143" s="145" t="str">
        <f>REPLACE(INDEX(GroupVertices[Group], MATCH(Vertices[[#This Row],[Vertex]],GroupVertices[Vertex],0)),1,1,"")</f>
        <v>3</v>
      </c>
      <c r="AE143" s="2"/>
      <c r="AI143" s="3"/>
    </row>
    <row r="144" spans="1:35" x14ac:dyDescent="0.3">
      <c r="A144" s="108" t="s">
        <v>371</v>
      </c>
      <c r="B144" s="109"/>
      <c r="C144" s="109"/>
      <c r="D144" s="110"/>
      <c r="E144" s="111"/>
      <c r="F144" s="109"/>
      <c r="G144" s="109"/>
      <c r="H144" s="57" t="s">
        <v>715</v>
      </c>
      <c r="I144" s="112"/>
      <c r="J144" s="112"/>
      <c r="K144" s="57"/>
      <c r="L144" s="113"/>
      <c r="M144" s="114">
        <v>2948.668701171875</v>
      </c>
      <c r="N144" s="114">
        <v>4798.78271484375</v>
      </c>
      <c r="O144" s="115" t="s">
        <v>782</v>
      </c>
      <c r="P144" s="116"/>
      <c r="Q144" s="116"/>
      <c r="R144" s="147">
        <v>2</v>
      </c>
      <c r="S144" s="106"/>
      <c r="T144" s="106"/>
      <c r="U144" s="148">
        <v>137.87103200000001</v>
      </c>
      <c r="V144" s="148">
        <v>1.2110000000000001E-3</v>
      </c>
      <c r="W144" s="148">
        <v>4.6129999999999999E-3</v>
      </c>
      <c r="X144" s="148">
        <v>0.65432699999999999</v>
      </c>
      <c r="Y144" s="148">
        <v>0</v>
      </c>
      <c r="Z144" s="107"/>
      <c r="AA144" s="117">
        <v>144</v>
      </c>
      <c r="AB14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4" s="118"/>
      <c r="AD144" s="145" t="str">
        <f>REPLACE(INDEX(GroupVertices[Group], MATCH(Vertices[[#This Row],[Vertex]],GroupVertices[Vertex],0)),1,1,"")</f>
        <v>2</v>
      </c>
      <c r="AE144" s="2"/>
      <c r="AI144" s="3"/>
    </row>
    <row r="145" spans="1:35" x14ac:dyDescent="0.3">
      <c r="A145" s="108" t="s">
        <v>300</v>
      </c>
      <c r="B145" s="109"/>
      <c r="C145" s="109"/>
      <c r="D145" s="110"/>
      <c r="E145" s="111"/>
      <c r="F145" s="109"/>
      <c r="G145" s="109"/>
      <c r="H145" s="57" t="s">
        <v>300</v>
      </c>
      <c r="I145" s="112"/>
      <c r="J145" s="112"/>
      <c r="K145" s="57"/>
      <c r="L145" s="113"/>
      <c r="M145" s="114">
        <v>2997.18212890625</v>
      </c>
      <c r="N145" s="114">
        <v>104.66098785400391</v>
      </c>
      <c r="O145" s="115" t="s">
        <v>782</v>
      </c>
      <c r="P145" s="116"/>
      <c r="Q145" s="116"/>
      <c r="R145" s="147">
        <v>1</v>
      </c>
      <c r="S145" s="106"/>
      <c r="T145" s="106"/>
      <c r="U145" s="148">
        <v>0</v>
      </c>
      <c r="V145" s="148">
        <v>9.1100000000000003E-4</v>
      </c>
      <c r="W145" s="148">
        <v>7.2400000000000003E-4</v>
      </c>
      <c r="X145" s="148">
        <v>0.42309600000000003</v>
      </c>
      <c r="Y145" s="148">
        <v>0</v>
      </c>
      <c r="Z145" s="107"/>
      <c r="AA145" s="117">
        <v>145</v>
      </c>
      <c r="AB14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5" s="118"/>
      <c r="AD145" s="145" t="str">
        <f>REPLACE(INDEX(GroupVertices[Group], MATCH(Vertices[[#This Row],[Vertex]],GroupVertices[Vertex],0)),1,1,"")</f>
        <v>10</v>
      </c>
      <c r="AE145" s="2"/>
      <c r="AI145" s="3"/>
    </row>
    <row r="146" spans="1:35" x14ac:dyDescent="0.3">
      <c r="A146" s="108" t="s">
        <v>374</v>
      </c>
      <c r="B146" s="109"/>
      <c r="C146" s="109"/>
      <c r="D146" s="110"/>
      <c r="E146" s="111"/>
      <c r="F146" s="109"/>
      <c r="G146" s="109"/>
      <c r="H146" s="57" t="s">
        <v>374</v>
      </c>
      <c r="I146" s="112"/>
      <c r="J146" s="112"/>
      <c r="K146" s="57"/>
      <c r="L146" s="113"/>
      <c r="M146" s="114">
        <v>5794.537109375</v>
      </c>
      <c r="N146" s="114">
        <v>7248.8583984375</v>
      </c>
      <c r="O146" s="115" t="s">
        <v>782</v>
      </c>
      <c r="P146" s="116"/>
      <c r="Q146" s="116"/>
      <c r="R146" s="147">
        <v>7</v>
      </c>
      <c r="S146" s="106"/>
      <c r="T146" s="106"/>
      <c r="U146" s="148">
        <v>1061.791825</v>
      </c>
      <c r="V146" s="148">
        <v>1.183E-3</v>
      </c>
      <c r="W146" s="148">
        <v>2.931E-3</v>
      </c>
      <c r="X146" s="148">
        <v>2.2408679999999999</v>
      </c>
      <c r="Y146" s="148">
        <v>0</v>
      </c>
      <c r="Z146" s="107"/>
      <c r="AA146" s="117">
        <v>146</v>
      </c>
      <c r="AB14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6" s="118"/>
      <c r="AD146" s="145" t="str">
        <f>REPLACE(INDEX(GroupVertices[Group], MATCH(Vertices[[#This Row],[Vertex]],GroupVertices[Vertex],0)),1,1,"")</f>
        <v>9</v>
      </c>
      <c r="AE146" s="2"/>
      <c r="AI146" s="3"/>
    </row>
    <row r="147" spans="1:35" x14ac:dyDescent="0.3">
      <c r="A147" s="108" t="s">
        <v>311</v>
      </c>
      <c r="B147" s="109"/>
      <c r="C147" s="109"/>
      <c r="D147" s="110"/>
      <c r="E147" s="111"/>
      <c r="F147" s="109"/>
      <c r="G147" s="109"/>
      <c r="H147" s="57" t="s">
        <v>311</v>
      </c>
      <c r="I147" s="112"/>
      <c r="J147" s="112"/>
      <c r="K147" s="57"/>
      <c r="L147" s="113"/>
      <c r="M147" s="114">
        <v>3505.233154296875</v>
      </c>
      <c r="N147" s="114">
        <v>3773.74609375</v>
      </c>
      <c r="O147" s="115" t="s">
        <v>782</v>
      </c>
      <c r="P147" s="116"/>
      <c r="Q147" s="116"/>
      <c r="R147" s="147">
        <v>4</v>
      </c>
      <c r="S147" s="106"/>
      <c r="T147" s="106"/>
      <c r="U147" s="148">
        <v>280.21973800000001</v>
      </c>
      <c r="V147" s="148">
        <v>1.312E-3</v>
      </c>
      <c r="W147" s="148">
        <v>1.0645999999999999E-2</v>
      </c>
      <c r="X147" s="148">
        <v>1.0955010000000001</v>
      </c>
      <c r="Y147" s="148">
        <v>0.16666666666666666</v>
      </c>
      <c r="Z147" s="107"/>
      <c r="AA147" s="117">
        <v>147</v>
      </c>
      <c r="AB14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7" s="118"/>
      <c r="AD147" s="145" t="str">
        <f>REPLACE(INDEX(GroupVertices[Group], MATCH(Vertices[[#This Row],[Vertex]],GroupVertices[Vertex],0)),1,1,"")</f>
        <v>4</v>
      </c>
      <c r="AE147" s="2"/>
      <c r="AI147" s="3"/>
    </row>
    <row r="148" spans="1:35" x14ac:dyDescent="0.3">
      <c r="A148" s="108" t="s">
        <v>391</v>
      </c>
      <c r="B148" s="109"/>
      <c r="C148" s="109"/>
      <c r="D148" s="110"/>
      <c r="E148" s="111"/>
      <c r="F148" s="109"/>
      <c r="G148" s="109"/>
      <c r="H148" s="57" t="s">
        <v>391</v>
      </c>
      <c r="I148" s="112"/>
      <c r="J148" s="112"/>
      <c r="K148" s="57"/>
      <c r="L148" s="113"/>
      <c r="M148" s="114">
        <v>6522.39892578125</v>
      </c>
      <c r="N148" s="114">
        <v>4737.77685546875</v>
      </c>
      <c r="O148" s="115" t="s">
        <v>782</v>
      </c>
      <c r="P148" s="116"/>
      <c r="Q148" s="116"/>
      <c r="R148" s="147">
        <v>2</v>
      </c>
      <c r="S148" s="106"/>
      <c r="T148" s="106"/>
      <c r="U148" s="148">
        <v>2.6166670000000001</v>
      </c>
      <c r="V148" s="148">
        <v>1.0529999999999999E-3</v>
      </c>
      <c r="W148" s="148">
        <v>3.5430000000000001E-3</v>
      </c>
      <c r="X148" s="148">
        <v>0.59982000000000002</v>
      </c>
      <c r="Y148" s="148">
        <v>0</v>
      </c>
      <c r="Z148" s="107"/>
      <c r="AA148" s="117">
        <v>148</v>
      </c>
      <c r="AB14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8" s="118"/>
      <c r="AD148" s="145" t="str">
        <f>REPLACE(INDEX(GroupVertices[Group], MATCH(Vertices[[#This Row],[Vertex]],GroupVertices[Vertex],0)),1,1,"")</f>
        <v>3</v>
      </c>
      <c r="AE148" s="2"/>
      <c r="AI148" s="3"/>
    </row>
    <row r="149" spans="1:35" x14ac:dyDescent="0.3">
      <c r="A149" s="108" t="s">
        <v>269</v>
      </c>
      <c r="B149" s="109"/>
      <c r="C149" s="109"/>
      <c r="D149" s="110"/>
      <c r="E149" s="111"/>
      <c r="F149" s="109"/>
      <c r="G149" s="109"/>
      <c r="H149" s="57" t="s">
        <v>716</v>
      </c>
      <c r="I149" s="112"/>
      <c r="J149" s="112"/>
      <c r="K149" s="57"/>
      <c r="L149" s="113"/>
      <c r="M149" s="114">
        <v>4988.99853515625</v>
      </c>
      <c r="N149" s="114">
        <v>3249.67724609375</v>
      </c>
      <c r="O149" s="115" t="s">
        <v>782</v>
      </c>
      <c r="P149" s="116"/>
      <c r="Q149" s="116"/>
      <c r="R149" s="147">
        <v>1</v>
      </c>
      <c r="S149" s="106"/>
      <c r="T149" s="106"/>
      <c r="U149" s="148">
        <v>0</v>
      </c>
      <c r="V149" s="148">
        <v>1.1349999999999999E-3</v>
      </c>
      <c r="W149" s="148">
        <v>2.4940000000000001E-3</v>
      </c>
      <c r="X149" s="148">
        <v>0.399507</v>
      </c>
      <c r="Y149" s="148">
        <v>0</v>
      </c>
      <c r="Z149" s="107"/>
      <c r="AA149" s="117">
        <v>149</v>
      </c>
      <c r="AB14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49" s="118"/>
      <c r="AD149" s="145" t="str">
        <f>REPLACE(INDEX(GroupVertices[Group], MATCH(Vertices[[#This Row],[Vertex]],GroupVertices[Vertex],0)),1,1,"")</f>
        <v>5</v>
      </c>
      <c r="AE149" s="2"/>
      <c r="AI149" s="3"/>
    </row>
    <row r="150" spans="1:35" x14ac:dyDescent="0.3">
      <c r="A150" s="108" t="s">
        <v>298</v>
      </c>
      <c r="B150" s="109"/>
      <c r="C150" s="109"/>
      <c r="D150" s="110"/>
      <c r="E150" s="111"/>
      <c r="F150" s="109"/>
      <c r="G150" s="109"/>
      <c r="H150" s="57" t="s">
        <v>298</v>
      </c>
      <c r="I150" s="112"/>
      <c r="J150" s="112"/>
      <c r="K150" s="57"/>
      <c r="L150" s="113"/>
      <c r="M150" s="114">
        <v>2787.571044921875</v>
      </c>
      <c r="N150" s="114">
        <v>1160.012939453125</v>
      </c>
      <c r="O150" s="115" t="s">
        <v>782</v>
      </c>
      <c r="P150" s="116"/>
      <c r="Q150" s="116"/>
      <c r="R150" s="147">
        <v>2</v>
      </c>
      <c r="S150" s="106"/>
      <c r="T150" s="106"/>
      <c r="U150" s="148">
        <v>0</v>
      </c>
      <c r="V150" s="148">
        <v>1.0399999999999999E-3</v>
      </c>
      <c r="W150" s="148">
        <v>2.7850000000000001E-3</v>
      </c>
      <c r="X150" s="148">
        <v>0.66930800000000001</v>
      </c>
      <c r="Y150" s="148">
        <v>1</v>
      </c>
      <c r="Z150" s="107"/>
      <c r="AA150" s="117">
        <v>150</v>
      </c>
      <c r="AB15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0" s="118"/>
      <c r="AD150" s="145" t="str">
        <f>REPLACE(INDEX(GroupVertices[Group], MATCH(Vertices[[#This Row],[Vertex]],GroupVertices[Vertex],0)),1,1,"")</f>
        <v>10</v>
      </c>
      <c r="AE150" s="2"/>
      <c r="AI150" s="3"/>
    </row>
    <row r="151" spans="1:35" x14ac:dyDescent="0.3">
      <c r="A151" s="108" t="s">
        <v>294</v>
      </c>
      <c r="B151" s="109"/>
      <c r="C151" s="109"/>
      <c r="D151" s="110"/>
      <c r="E151" s="111"/>
      <c r="F151" s="109"/>
      <c r="G151" s="109"/>
      <c r="H151" s="57" t="s">
        <v>717</v>
      </c>
      <c r="I151" s="112"/>
      <c r="J151" s="112"/>
      <c r="K151" s="57"/>
      <c r="L151" s="113"/>
      <c r="M151" s="114">
        <v>6727.50830078125</v>
      </c>
      <c r="N151" s="114">
        <v>1394.001708984375</v>
      </c>
      <c r="O151" s="115" t="s">
        <v>782</v>
      </c>
      <c r="P151" s="116"/>
      <c r="Q151" s="116"/>
      <c r="R151" s="147">
        <v>1</v>
      </c>
      <c r="S151" s="106"/>
      <c r="T151" s="106"/>
      <c r="U151" s="148">
        <v>0</v>
      </c>
      <c r="V151" s="148">
        <v>8.9599999999999999E-4</v>
      </c>
      <c r="W151" s="148">
        <v>2.61E-4</v>
      </c>
      <c r="X151" s="148">
        <v>0.47978799999999999</v>
      </c>
      <c r="Y151" s="148">
        <v>0</v>
      </c>
      <c r="Z151" s="107"/>
      <c r="AA151" s="117">
        <v>151</v>
      </c>
      <c r="AB15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1" s="118"/>
      <c r="AD151" s="145" t="str">
        <f>REPLACE(INDEX(GroupVertices[Group], MATCH(Vertices[[#This Row],[Vertex]],GroupVertices[Vertex],0)),1,1,"")</f>
        <v>7</v>
      </c>
      <c r="AE151" s="2"/>
      <c r="AI151" s="3"/>
    </row>
    <row r="152" spans="1:35" x14ac:dyDescent="0.3">
      <c r="A152" s="108" t="s">
        <v>295</v>
      </c>
      <c r="B152" s="109"/>
      <c r="C152" s="109"/>
      <c r="D152" s="110"/>
      <c r="E152" s="111"/>
      <c r="F152" s="109"/>
      <c r="G152" s="109"/>
      <c r="H152" s="57" t="s">
        <v>718</v>
      </c>
      <c r="I152" s="112"/>
      <c r="J152" s="112"/>
      <c r="K152" s="57"/>
      <c r="L152" s="113"/>
      <c r="M152" s="114">
        <v>6361.90234375</v>
      </c>
      <c r="N152" s="114">
        <v>1204.4949951171875</v>
      </c>
      <c r="O152" s="115" t="s">
        <v>782</v>
      </c>
      <c r="P152" s="116"/>
      <c r="Q152" s="116"/>
      <c r="R152" s="147">
        <v>1</v>
      </c>
      <c r="S152" s="106"/>
      <c r="T152" s="106"/>
      <c r="U152" s="148">
        <v>0</v>
      </c>
      <c r="V152" s="148">
        <v>8.9599999999999999E-4</v>
      </c>
      <c r="W152" s="148">
        <v>2.61E-4</v>
      </c>
      <c r="X152" s="148">
        <v>0.47978799999999999</v>
      </c>
      <c r="Y152" s="148">
        <v>0</v>
      </c>
      <c r="Z152" s="107"/>
      <c r="AA152" s="117">
        <v>152</v>
      </c>
      <c r="AB15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2" s="118"/>
      <c r="AD152" s="145" t="str">
        <f>REPLACE(INDEX(GroupVertices[Group], MATCH(Vertices[[#This Row],[Vertex]],GroupVertices[Vertex],0)),1,1,"")</f>
        <v>7</v>
      </c>
      <c r="AE152" s="2"/>
      <c r="AI152" s="3"/>
    </row>
    <row r="153" spans="1:35" x14ac:dyDescent="0.3">
      <c r="A153" s="108" t="s">
        <v>188</v>
      </c>
      <c r="B153" s="109"/>
      <c r="C153" s="109"/>
      <c r="D153" s="110"/>
      <c r="E153" s="111"/>
      <c r="F153" s="109"/>
      <c r="G153" s="109"/>
      <c r="H153" s="57" t="s">
        <v>188</v>
      </c>
      <c r="I153" s="112"/>
      <c r="J153" s="112"/>
      <c r="K153" s="57"/>
      <c r="L153" s="113"/>
      <c r="M153" s="114">
        <v>4692.43603515625</v>
      </c>
      <c r="N153" s="114">
        <v>8801.724609375</v>
      </c>
      <c r="O153" s="115" t="s">
        <v>782</v>
      </c>
      <c r="P153" s="116"/>
      <c r="Q153" s="116"/>
      <c r="R153" s="147">
        <v>8</v>
      </c>
      <c r="S153" s="106"/>
      <c r="T153" s="106"/>
      <c r="U153" s="148">
        <v>1315.7117929999999</v>
      </c>
      <c r="V153" s="148">
        <v>1.073E-3</v>
      </c>
      <c r="W153" s="148">
        <v>1.008E-3</v>
      </c>
      <c r="X153" s="148">
        <v>3.287925</v>
      </c>
      <c r="Y153" s="148">
        <v>0</v>
      </c>
      <c r="Z153" s="107"/>
      <c r="AA153" s="117">
        <v>153</v>
      </c>
      <c r="AB15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3" s="118"/>
      <c r="AD153" s="145" t="str">
        <f>REPLACE(INDEX(GroupVertices[Group], MATCH(Vertices[[#This Row],[Vertex]],GroupVertices[Vertex],0)),1,1,"")</f>
        <v>7</v>
      </c>
      <c r="AE153" s="2"/>
      <c r="AI153" s="3"/>
    </row>
    <row r="154" spans="1:35" x14ac:dyDescent="0.3">
      <c r="A154" s="108" t="s">
        <v>196</v>
      </c>
      <c r="B154" s="109"/>
      <c r="C154" s="109"/>
      <c r="D154" s="110"/>
      <c r="E154" s="111"/>
      <c r="F154" s="109"/>
      <c r="G154" s="109"/>
      <c r="H154" s="57" t="s">
        <v>196</v>
      </c>
      <c r="I154" s="112"/>
      <c r="J154" s="112"/>
      <c r="K154" s="57"/>
      <c r="L154" s="113"/>
      <c r="M154" s="114">
        <v>5912.62060546875</v>
      </c>
      <c r="N154" s="114">
        <v>4647.40576171875</v>
      </c>
      <c r="O154" s="115" t="s">
        <v>782</v>
      </c>
      <c r="P154" s="116"/>
      <c r="Q154" s="116"/>
      <c r="R154" s="147">
        <v>5</v>
      </c>
      <c r="S154" s="106"/>
      <c r="T154" s="106"/>
      <c r="U154" s="148">
        <v>949.51683200000002</v>
      </c>
      <c r="V154" s="148">
        <v>1.2390000000000001E-3</v>
      </c>
      <c r="W154" s="148">
        <v>2.068E-3</v>
      </c>
      <c r="X154" s="148">
        <v>1.6245160000000001</v>
      </c>
      <c r="Y154" s="148">
        <v>0</v>
      </c>
      <c r="Z154" s="107"/>
      <c r="AA154" s="117">
        <v>154</v>
      </c>
      <c r="AB15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4" s="118"/>
      <c r="AD154" s="145" t="str">
        <f>REPLACE(INDEX(GroupVertices[Group], MATCH(Vertices[[#This Row],[Vertex]],GroupVertices[Vertex],0)),1,1,"")</f>
        <v>7</v>
      </c>
      <c r="AE154" s="2"/>
      <c r="AI154" s="3"/>
    </row>
    <row r="155" spans="1:35" x14ac:dyDescent="0.3">
      <c r="A155" s="108" t="s">
        <v>182</v>
      </c>
      <c r="B155" s="109"/>
      <c r="C155" s="109"/>
      <c r="D155" s="110"/>
      <c r="E155" s="111"/>
      <c r="F155" s="109"/>
      <c r="G155" s="109"/>
      <c r="H155" s="57" t="s">
        <v>182</v>
      </c>
      <c r="I155" s="112"/>
      <c r="J155" s="112"/>
      <c r="K155" s="57"/>
      <c r="L155" s="113"/>
      <c r="M155" s="114">
        <v>5635.30224609375</v>
      </c>
      <c r="N155" s="114">
        <v>6352.72900390625</v>
      </c>
      <c r="O155" s="115" t="s">
        <v>782</v>
      </c>
      <c r="P155" s="116"/>
      <c r="Q155" s="116"/>
      <c r="R155" s="147">
        <v>13</v>
      </c>
      <c r="S155" s="106"/>
      <c r="T155" s="106"/>
      <c r="U155" s="148">
        <v>2142.362666</v>
      </c>
      <c r="V155" s="148">
        <v>1.3389999999999999E-3</v>
      </c>
      <c r="W155" s="148">
        <v>4.1539999999999997E-3</v>
      </c>
      <c r="X155" s="148">
        <v>3.9496730000000002</v>
      </c>
      <c r="Y155" s="148">
        <v>0</v>
      </c>
      <c r="Z155" s="107"/>
      <c r="AA155" s="117">
        <v>155</v>
      </c>
      <c r="AB15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5" s="118"/>
      <c r="AD155" s="145" t="str">
        <f>REPLACE(INDEX(GroupVertices[Group], MATCH(Vertices[[#This Row],[Vertex]],GroupVertices[Vertex],0)),1,1,"")</f>
        <v>2</v>
      </c>
      <c r="AE155" s="2"/>
      <c r="AI155" s="3"/>
    </row>
    <row r="156" spans="1:35" x14ac:dyDescent="0.3">
      <c r="A156" s="108" t="s">
        <v>202</v>
      </c>
      <c r="B156" s="109"/>
      <c r="C156" s="109"/>
      <c r="D156" s="110"/>
      <c r="E156" s="111"/>
      <c r="F156" s="109"/>
      <c r="G156" s="109"/>
      <c r="H156" s="57" t="s">
        <v>719</v>
      </c>
      <c r="I156" s="112"/>
      <c r="J156" s="112"/>
      <c r="K156" s="57"/>
      <c r="L156" s="113"/>
      <c r="M156" s="114">
        <v>5790.5361328125</v>
      </c>
      <c r="N156" s="114">
        <v>5550.02880859375</v>
      </c>
      <c r="O156" s="115" t="s">
        <v>782</v>
      </c>
      <c r="P156" s="116"/>
      <c r="Q156" s="116"/>
      <c r="R156" s="147">
        <v>2</v>
      </c>
      <c r="S156" s="106"/>
      <c r="T156" s="106"/>
      <c r="U156" s="148">
        <v>51.952987</v>
      </c>
      <c r="V156" s="148">
        <v>1.0989999999999999E-3</v>
      </c>
      <c r="W156" s="148">
        <v>1.4339999999999999E-3</v>
      </c>
      <c r="X156" s="148">
        <v>0.66765799999999997</v>
      </c>
      <c r="Y156" s="148">
        <v>0</v>
      </c>
      <c r="Z156" s="107"/>
      <c r="AA156" s="117">
        <v>156</v>
      </c>
      <c r="AB15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6" s="118"/>
      <c r="AD156" s="145" t="str">
        <f>REPLACE(INDEX(GroupVertices[Group], MATCH(Vertices[[#This Row],[Vertex]],GroupVertices[Vertex],0)),1,1,"")</f>
        <v>2</v>
      </c>
      <c r="AE156" s="2"/>
      <c r="AI156" s="3"/>
    </row>
    <row r="157" spans="1:35" x14ac:dyDescent="0.3">
      <c r="A157" s="108" t="s">
        <v>191</v>
      </c>
      <c r="B157" s="109"/>
      <c r="C157" s="109"/>
      <c r="D157" s="110"/>
      <c r="E157" s="111"/>
      <c r="F157" s="109"/>
      <c r="G157" s="109"/>
      <c r="H157" s="57" t="s">
        <v>720</v>
      </c>
      <c r="I157" s="112"/>
      <c r="J157" s="112"/>
      <c r="K157" s="57"/>
      <c r="L157" s="113"/>
      <c r="M157" s="114">
        <v>5072.9921875</v>
      </c>
      <c r="N157" s="114">
        <v>9764.5498046875</v>
      </c>
      <c r="O157" s="115" t="s">
        <v>782</v>
      </c>
      <c r="P157" s="116"/>
      <c r="Q157" s="116"/>
      <c r="R157" s="147">
        <v>1</v>
      </c>
      <c r="S157" s="106"/>
      <c r="T157" s="106"/>
      <c r="U157" s="148">
        <v>0</v>
      </c>
      <c r="V157" s="148">
        <v>8.7500000000000002E-4</v>
      </c>
      <c r="W157" s="148">
        <v>1.6200000000000001E-4</v>
      </c>
      <c r="X157" s="148">
        <v>0.49934200000000001</v>
      </c>
      <c r="Y157" s="148">
        <v>0</v>
      </c>
      <c r="Z157" s="107"/>
      <c r="AA157" s="117">
        <v>157</v>
      </c>
      <c r="AB15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7" s="118"/>
      <c r="AD157" s="145" t="str">
        <f>REPLACE(INDEX(GroupVertices[Group], MATCH(Vertices[[#This Row],[Vertex]],GroupVertices[Vertex],0)),1,1,"")</f>
        <v>7</v>
      </c>
      <c r="AE157" s="2"/>
      <c r="AI157" s="3"/>
    </row>
    <row r="158" spans="1:35" x14ac:dyDescent="0.3">
      <c r="A158" s="108" t="s">
        <v>262</v>
      </c>
      <c r="B158" s="109"/>
      <c r="C158" s="109"/>
      <c r="D158" s="110"/>
      <c r="E158" s="111"/>
      <c r="F158" s="109"/>
      <c r="G158" s="109"/>
      <c r="H158" s="57" t="s">
        <v>262</v>
      </c>
      <c r="I158" s="112"/>
      <c r="J158" s="112"/>
      <c r="K158" s="57"/>
      <c r="L158" s="113"/>
      <c r="M158" s="114">
        <v>7756.7138671875</v>
      </c>
      <c r="N158" s="114">
        <v>7956.28857421875</v>
      </c>
      <c r="O158" s="115" t="s">
        <v>782</v>
      </c>
      <c r="P158" s="116"/>
      <c r="Q158" s="116"/>
      <c r="R158" s="147">
        <v>1</v>
      </c>
      <c r="S158" s="106"/>
      <c r="T158" s="106"/>
      <c r="U158" s="148">
        <v>0</v>
      </c>
      <c r="V158" s="148">
        <v>8.5700000000000001E-4</v>
      </c>
      <c r="W158" s="148">
        <v>1.1E-4</v>
      </c>
      <c r="X158" s="148">
        <v>0.50646599999999997</v>
      </c>
      <c r="Y158" s="148">
        <v>0</v>
      </c>
      <c r="Z158" s="107"/>
      <c r="AA158" s="117">
        <v>158</v>
      </c>
      <c r="AB15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8" s="118"/>
      <c r="AD158" s="145" t="str">
        <f>REPLACE(INDEX(GroupVertices[Group], MATCH(Vertices[[#This Row],[Vertex]],GroupVertices[Vertex],0)),1,1,"")</f>
        <v>2</v>
      </c>
      <c r="AE158" s="2"/>
      <c r="AI158" s="3"/>
    </row>
    <row r="159" spans="1:35" x14ac:dyDescent="0.3">
      <c r="A159" s="108" t="s">
        <v>230</v>
      </c>
      <c r="B159" s="109"/>
      <c r="C159" s="109"/>
      <c r="D159" s="110"/>
      <c r="E159" s="111"/>
      <c r="F159" s="109"/>
      <c r="G159" s="109"/>
      <c r="H159" s="57" t="s">
        <v>230</v>
      </c>
      <c r="I159" s="112"/>
      <c r="J159" s="112"/>
      <c r="K159" s="57"/>
      <c r="L159" s="113"/>
      <c r="M159" s="114">
        <v>1709.21728515625</v>
      </c>
      <c r="N159" s="114">
        <v>2428.5244140625</v>
      </c>
      <c r="O159" s="115" t="s">
        <v>782</v>
      </c>
      <c r="P159" s="116"/>
      <c r="Q159" s="116"/>
      <c r="R159" s="147">
        <v>2</v>
      </c>
      <c r="S159" s="106"/>
      <c r="T159" s="106"/>
      <c r="U159" s="148">
        <v>211</v>
      </c>
      <c r="V159" s="148">
        <v>1.2049999999999999E-3</v>
      </c>
      <c r="W159" s="148">
        <v>3.0339999999999998E-3</v>
      </c>
      <c r="X159" s="148">
        <v>0.87556100000000003</v>
      </c>
      <c r="Y159" s="148">
        <v>0</v>
      </c>
      <c r="Z159" s="107"/>
      <c r="AA159" s="117">
        <v>159</v>
      </c>
      <c r="AB15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59" s="118"/>
      <c r="AD159" s="145" t="str">
        <f>REPLACE(INDEX(GroupVertices[Group], MATCH(Vertices[[#This Row],[Vertex]],GroupVertices[Vertex],0)),1,1,"")</f>
        <v>8</v>
      </c>
      <c r="AE159" s="2"/>
      <c r="AI159" s="3"/>
    </row>
    <row r="160" spans="1:35" x14ac:dyDescent="0.3">
      <c r="A160" s="108" t="s">
        <v>292</v>
      </c>
      <c r="B160" s="109"/>
      <c r="C160" s="109"/>
      <c r="D160" s="110"/>
      <c r="E160" s="111"/>
      <c r="F160" s="109"/>
      <c r="G160" s="109"/>
      <c r="H160" s="57" t="s">
        <v>292</v>
      </c>
      <c r="I160" s="112"/>
      <c r="J160" s="112"/>
      <c r="K160" s="57"/>
      <c r="L160" s="113"/>
      <c r="M160" s="114">
        <v>6873.1923828125</v>
      </c>
      <c r="N160" s="114">
        <v>1556.76318359375</v>
      </c>
      <c r="O160" s="115" t="s">
        <v>782</v>
      </c>
      <c r="P160" s="116"/>
      <c r="Q160" s="116"/>
      <c r="R160" s="147">
        <v>1</v>
      </c>
      <c r="S160" s="106"/>
      <c r="T160" s="106"/>
      <c r="U160" s="148">
        <v>0</v>
      </c>
      <c r="V160" s="148">
        <v>8.9599999999999999E-4</v>
      </c>
      <c r="W160" s="148">
        <v>2.61E-4</v>
      </c>
      <c r="X160" s="148">
        <v>0.47978799999999999</v>
      </c>
      <c r="Y160" s="148">
        <v>0</v>
      </c>
      <c r="Z160" s="107"/>
      <c r="AA160" s="117">
        <v>160</v>
      </c>
      <c r="AB16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0" s="118"/>
      <c r="AD160" s="145" t="str">
        <f>REPLACE(INDEX(GroupVertices[Group], MATCH(Vertices[[#This Row],[Vertex]],GroupVertices[Vertex],0)),1,1,"")</f>
        <v>7</v>
      </c>
      <c r="AE160" s="2"/>
      <c r="AI160" s="3"/>
    </row>
    <row r="161" spans="1:35" x14ac:dyDescent="0.3">
      <c r="A161" s="108" t="s">
        <v>340</v>
      </c>
      <c r="B161" s="109"/>
      <c r="C161" s="109"/>
      <c r="D161" s="110"/>
      <c r="E161" s="111"/>
      <c r="F161" s="109"/>
      <c r="G161" s="109"/>
      <c r="H161" s="57" t="s">
        <v>340</v>
      </c>
      <c r="I161" s="112"/>
      <c r="J161" s="112"/>
      <c r="K161" s="57"/>
      <c r="L161" s="113"/>
      <c r="M161" s="114">
        <v>5556.19091796875</v>
      </c>
      <c r="N161" s="114">
        <v>3432.47998046875</v>
      </c>
      <c r="O161" s="115" t="s">
        <v>782</v>
      </c>
      <c r="P161" s="116"/>
      <c r="Q161" s="116"/>
      <c r="R161" s="147">
        <v>1</v>
      </c>
      <c r="S161" s="106"/>
      <c r="T161" s="106"/>
      <c r="U161" s="148">
        <v>0</v>
      </c>
      <c r="V161" s="148">
        <v>1.0920000000000001E-3</v>
      </c>
      <c r="W161" s="148">
        <v>1.9220000000000001E-3</v>
      </c>
      <c r="X161" s="148">
        <v>0.40993099999999999</v>
      </c>
      <c r="Y161" s="148">
        <v>0</v>
      </c>
      <c r="Z161" s="107"/>
      <c r="AA161" s="117">
        <v>161</v>
      </c>
      <c r="AB16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1" s="118"/>
      <c r="AD161" s="145" t="str">
        <f>REPLACE(INDEX(GroupVertices[Group], MATCH(Vertices[[#This Row],[Vertex]],GroupVertices[Vertex],0)),1,1,"")</f>
        <v>2</v>
      </c>
      <c r="AE161" s="2"/>
      <c r="AI161" s="3"/>
    </row>
    <row r="162" spans="1:35" x14ac:dyDescent="0.3">
      <c r="A162" s="108" t="s">
        <v>582</v>
      </c>
      <c r="B162" s="109"/>
      <c r="C162" s="109"/>
      <c r="D162" s="110"/>
      <c r="E162" s="111"/>
      <c r="F162" s="109"/>
      <c r="G162" s="109"/>
      <c r="H162" s="57" t="s">
        <v>582</v>
      </c>
      <c r="I162" s="112"/>
      <c r="J162" s="112"/>
      <c r="K162" s="57"/>
      <c r="L162" s="113"/>
      <c r="M162" s="114">
        <v>8062.490234375</v>
      </c>
      <c r="N162" s="114">
        <v>104.66098785400391</v>
      </c>
      <c r="O162" s="115" t="s">
        <v>782</v>
      </c>
      <c r="P162" s="116"/>
      <c r="Q162" s="116"/>
      <c r="R162" s="147"/>
      <c r="S162" s="106"/>
      <c r="T162" s="106"/>
      <c r="U162" s="148"/>
      <c r="V162" s="148"/>
      <c r="W162" s="148"/>
      <c r="X162" s="148"/>
      <c r="Y162" s="148"/>
      <c r="Z162" s="107"/>
      <c r="AA162" s="117">
        <v>162</v>
      </c>
      <c r="AB16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2" s="118"/>
      <c r="AD162" s="145" t="str">
        <f>REPLACE(INDEX(GroupVertices[Group], MATCH(Vertices[[#This Row],[Vertex]],GroupVertices[Vertex],0)),1,1,"")</f>
        <v>2</v>
      </c>
      <c r="AE162" s="2"/>
      <c r="AI162" s="3"/>
    </row>
    <row r="163" spans="1:35" x14ac:dyDescent="0.3">
      <c r="A163" s="108" t="s">
        <v>208</v>
      </c>
      <c r="B163" s="109"/>
      <c r="C163" s="109"/>
      <c r="D163" s="110"/>
      <c r="E163" s="111"/>
      <c r="F163" s="109"/>
      <c r="G163" s="109"/>
      <c r="H163" s="57" t="s">
        <v>208</v>
      </c>
      <c r="I163" s="112"/>
      <c r="J163" s="112"/>
      <c r="K163" s="57"/>
      <c r="L163" s="113"/>
      <c r="M163" s="114">
        <v>3853.5185546875</v>
      </c>
      <c r="N163" s="114">
        <v>3931.339111328125</v>
      </c>
      <c r="O163" s="115" t="s">
        <v>782</v>
      </c>
      <c r="P163" s="116"/>
      <c r="Q163" s="116"/>
      <c r="R163" s="147">
        <v>2</v>
      </c>
      <c r="S163" s="106"/>
      <c r="T163" s="106"/>
      <c r="U163" s="148">
        <v>48.452879000000003</v>
      </c>
      <c r="V163" s="148">
        <v>1.227E-3</v>
      </c>
      <c r="W163" s="148">
        <v>3.7239999999999999E-3</v>
      </c>
      <c r="X163" s="148">
        <v>0.69117499999999998</v>
      </c>
      <c r="Y163" s="148">
        <v>0</v>
      </c>
      <c r="Z163" s="107"/>
      <c r="AA163" s="117">
        <v>163</v>
      </c>
      <c r="AB16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3" s="118"/>
      <c r="AD163" s="145" t="str">
        <f>REPLACE(INDEX(GroupVertices[Group], MATCH(Vertices[[#This Row],[Vertex]],GroupVertices[Vertex],0)),1,1,"")</f>
        <v>2</v>
      </c>
      <c r="AE163" s="2"/>
      <c r="AI163" s="3"/>
    </row>
    <row r="164" spans="1:35" x14ac:dyDescent="0.3">
      <c r="A164" s="108" t="s">
        <v>345</v>
      </c>
      <c r="B164" s="109"/>
      <c r="C164" s="109"/>
      <c r="D164" s="110"/>
      <c r="E164" s="111"/>
      <c r="F164" s="109"/>
      <c r="G164" s="109"/>
      <c r="H164" s="57" t="s">
        <v>345</v>
      </c>
      <c r="I164" s="112"/>
      <c r="J164" s="112"/>
      <c r="K164" s="57"/>
      <c r="L164" s="113"/>
      <c r="M164" s="114">
        <v>4471.47802734375</v>
      </c>
      <c r="N164" s="114">
        <v>3436.5390625</v>
      </c>
      <c r="O164" s="115" t="s">
        <v>782</v>
      </c>
      <c r="P164" s="116"/>
      <c r="Q164" s="116"/>
      <c r="R164" s="147">
        <v>10</v>
      </c>
      <c r="S164" s="106"/>
      <c r="T164" s="106"/>
      <c r="U164" s="148">
        <v>1493.791684</v>
      </c>
      <c r="V164" s="148">
        <v>1.4970000000000001E-3</v>
      </c>
      <c r="W164" s="148">
        <v>2.2062999999999999E-2</v>
      </c>
      <c r="X164" s="148">
        <v>2.6239859999999999</v>
      </c>
      <c r="Y164" s="148">
        <v>6.6666666666666666E-2</v>
      </c>
      <c r="Z164" s="107"/>
      <c r="AA164" s="117">
        <v>164</v>
      </c>
      <c r="AB16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4" s="118"/>
      <c r="AD164" s="145" t="str">
        <f>REPLACE(INDEX(GroupVertices[Group], MATCH(Vertices[[#This Row],[Vertex]],GroupVertices[Vertex],0)),1,1,"")</f>
        <v>3</v>
      </c>
      <c r="AE164" s="2"/>
      <c r="AI164" s="3"/>
    </row>
    <row r="165" spans="1:35" x14ac:dyDescent="0.3">
      <c r="A165" s="45" t="s">
        <v>366</v>
      </c>
      <c r="B165" s="46"/>
      <c r="C165" s="46"/>
      <c r="D165" s="47"/>
      <c r="E165" s="48"/>
      <c r="F165" s="46"/>
      <c r="G165" s="46"/>
      <c r="H165" s="49" t="s">
        <v>366</v>
      </c>
      <c r="I165" s="50"/>
      <c r="J165" s="50"/>
      <c r="K165" s="49"/>
      <c r="L165" s="103"/>
      <c r="M165" s="104">
        <v>5631.76171875</v>
      </c>
      <c r="N165" s="104">
        <v>4568.85009765625</v>
      </c>
      <c r="O165" s="115" t="s">
        <v>782</v>
      </c>
      <c r="P165" s="105"/>
      <c r="Q165" s="105"/>
      <c r="R165" s="147">
        <v>6</v>
      </c>
      <c r="S165" s="106"/>
      <c r="T165" s="106"/>
      <c r="U165" s="148">
        <v>187.78996000000001</v>
      </c>
      <c r="V165" s="148">
        <v>1.1640000000000001E-3</v>
      </c>
      <c r="W165" s="148">
        <v>6.7730000000000004E-3</v>
      </c>
      <c r="X165" s="148">
        <v>1.5974699999999999</v>
      </c>
      <c r="Y165" s="148">
        <v>6.6666666666666666E-2</v>
      </c>
      <c r="Z165" s="107"/>
      <c r="AA165" s="52">
        <v>165</v>
      </c>
      <c r="AB165" s="52"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5" s="53"/>
      <c r="AD165" s="145" t="str">
        <f>REPLACE(INDEX(GroupVertices[Group], MATCH(Vertices[[#This Row],[Vertex]],GroupVertices[Vertex],0)),1,1,"")</f>
        <v>3</v>
      </c>
      <c r="AE165" s="2"/>
      <c r="AI165" s="3"/>
    </row>
    <row r="166" spans="1:35" x14ac:dyDescent="0.3">
      <c r="A166" s="108" t="s">
        <v>392</v>
      </c>
      <c r="B166" s="109"/>
      <c r="C166" s="109"/>
      <c r="D166" s="110"/>
      <c r="E166" s="111"/>
      <c r="F166" s="109"/>
      <c r="G166" s="109"/>
      <c r="H166" s="57" t="s">
        <v>392</v>
      </c>
      <c r="I166" s="112"/>
      <c r="J166" s="112"/>
      <c r="K166" s="57"/>
      <c r="L166" s="113"/>
      <c r="M166" s="114">
        <v>4025.275146484375</v>
      </c>
      <c r="N166" s="114">
        <v>3018.649658203125</v>
      </c>
      <c r="O166" s="115" t="s">
        <v>782</v>
      </c>
      <c r="P166" s="116"/>
      <c r="Q166" s="116"/>
      <c r="R166" s="147">
        <v>1</v>
      </c>
      <c r="S166" s="106"/>
      <c r="T166" s="106"/>
      <c r="U166" s="148">
        <v>0</v>
      </c>
      <c r="V166" s="148">
        <v>9.3300000000000002E-4</v>
      </c>
      <c r="W166" s="148">
        <v>4.3600000000000003E-4</v>
      </c>
      <c r="X166" s="148">
        <v>0.45278000000000002</v>
      </c>
      <c r="Y166" s="148">
        <v>0</v>
      </c>
      <c r="Z166" s="107"/>
      <c r="AA166" s="117">
        <v>166</v>
      </c>
      <c r="AB16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6" s="118"/>
      <c r="AD166" s="145" t="str">
        <f>REPLACE(INDEX(GroupVertices[Group], MATCH(Vertices[[#This Row],[Vertex]],GroupVertices[Vertex],0)),1,1,"")</f>
        <v>2</v>
      </c>
      <c r="AE166" s="2"/>
      <c r="AI166" s="3"/>
    </row>
    <row r="167" spans="1:35" x14ac:dyDescent="0.3">
      <c r="A167" s="108" t="s">
        <v>297</v>
      </c>
      <c r="B167" s="109"/>
      <c r="C167" s="109"/>
      <c r="D167" s="110"/>
      <c r="E167" s="111"/>
      <c r="F167" s="109"/>
      <c r="G167" s="109"/>
      <c r="H167" s="57" t="s">
        <v>297</v>
      </c>
      <c r="I167" s="112"/>
      <c r="J167" s="112"/>
      <c r="K167" s="57"/>
      <c r="L167" s="113"/>
      <c r="M167" s="114">
        <v>3060.9453125</v>
      </c>
      <c r="N167" s="114">
        <v>2211.9267578125</v>
      </c>
      <c r="O167" s="115" t="s">
        <v>782</v>
      </c>
      <c r="P167" s="116"/>
      <c r="Q167" s="116"/>
      <c r="R167" s="147">
        <v>7</v>
      </c>
      <c r="S167" s="106"/>
      <c r="T167" s="106"/>
      <c r="U167" s="148">
        <v>825.55943600000001</v>
      </c>
      <c r="V167" s="148">
        <v>1.297E-3</v>
      </c>
      <c r="W167" s="148">
        <v>1.2848999999999999E-2</v>
      </c>
      <c r="X167" s="148">
        <v>2.0276290000000001</v>
      </c>
      <c r="Y167" s="148">
        <v>4.7619047619047616E-2</v>
      </c>
      <c r="Z167" s="107"/>
      <c r="AA167" s="117">
        <v>167</v>
      </c>
      <c r="AB16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7" s="118"/>
      <c r="AD167" s="145" t="str">
        <f>REPLACE(INDEX(GroupVertices[Group], MATCH(Vertices[[#This Row],[Vertex]],GroupVertices[Vertex],0)),1,1,"")</f>
        <v>10</v>
      </c>
      <c r="AE167" s="2"/>
      <c r="AI167" s="3"/>
    </row>
    <row r="168" spans="1:35" x14ac:dyDescent="0.3">
      <c r="A168" s="108" t="s">
        <v>325</v>
      </c>
      <c r="B168" s="109"/>
      <c r="C168" s="109"/>
      <c r="D168" s="110"/>
      <c r="E168" s="111"/>
      <c r="F168" s="109"/>
      <c r="G168" s="109"/>
      <c r="H168" s="57" t="s">
        <v>325</v>
      </c>
      <c r="I168" s="112"/>
      <c r="J168" s="112"/>
      <c r="K168" s="57"/>
      <c r="L168" s="113"/>
      <c r="M168" s="114">
        <v>170.01231384277344</v>
      </c>
      <c r="N168" s="114">
        <v>2676.64794921875</v>
      </c>
      <c r="O168" s="115" t="s">
        <v>782</v>
      </c>
      <c r="P168" s="116"/>
      <c r="Q168" s="116"/>
      <c r="R168" s="147">
        <v>1</v>
      </c>
      <c r="S168" s="106"/>
      <c r="T168" s="106"/>
      <c r="U168" s="148">
        <v>0</v>
      </c>
      <c r="V168" s="148">
        <v>9.6100000000000005E-4</v>
      </c>
      <c r="W168" s="148">
        <v>4.8700000000000002E-4</v>
      </c>
      <c r="X168" s="148">
        <v>0.52211300000000005</v>
      </c>
      <c r="Y168" s="148">
        <v>0</v>
      </c>
      <c r="Z168" s="107"/>
      <c r="AA168" s="117">
        <v>168</v>
      </c>
      <c r="AB16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8" s="118"/>
      <c r="AD168" s="145" t="str">
        <f>REPLACE(INDEX(GroupVertices[Group], MATCH(Vertices[[#This Row],[Vertex]],GroupVertices[Vertex],0)),1,1,"")</f>
        <v>8</v>
      </c>
      <c r="AE168" s="2"/>
      <c r="AI168" s="3"/>
    </row>
    <row r="169" spans="1:35" x14ac:dyDescent="0.3">
      <c r="A169" s="108" t="s">
        <v>381</v>
      </c>
      <c r="B169" s="109"/>
      <c r="C169" s="109"/>
      <c r="D169" s="110"/>
      <c r="E169" s="111"/>
      <c r="F169" s="109"/>
      <c r="G169" s="109"/>
      <c r="H169" s="57" t="s">
        <v>721</v>
      </c>
      <c r="I169" s="112"/>
      <c r="J169" s="112"/>
      <c r="K169" s="57"/>
      <c r="L169" s="113"/>
      <c r="M169" s="114">
        <v>8301.125</v>
      </c>
      <c r="N169" s="114">
        <v>4810.07568359375</v>
      </c>
      <c r="O169" s="115" t="s">
        <v>782</v>
      </c>
      <c r="P169" s="116"/>
      <c r="Q169" s="116"/>
      <c r="R169" s="147">
        <v>1</v>
      </c>
      <c r="S169" s="106"/>
      <c r="T169" s="106"/>
      <c r="U169" s="148">
        <v>0</v>
      </c>
      <c r="V169" s="148">
        <v>9.5799999999999998E-4</v>
      </c>
      <c r="W169" s="148">
        <v>1.4499999999999999E-3</v>
      </c>
      <c r="X169" s="148">
        <v>0.41689799999999999</v>
      </c>
      <c r="Y169" s="148">
        <v>0</v>
      </c>
      <c r="Z169" s="107"/>
      <c r="AA169" s="117">
        <v>169</v>
      </c>
      <c r="AB16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69" s="118"/>
      <c r="AD169" s="145" t="str">
        <f>REPLACE(INDEX(GroupVertices[Group], MATCH(Vertices[[#This Row],[Vertex]],GroupVertices[Vertex],0)),1,1,"")</f>
        <v>3</v>
      </c>
      <c r="AE169" s="2"/>
      <c r="AI169" s="3"/>
    </row>
    <row r="170" spans="1:35" x14ac:dyDescent="0.3">
      <c r="A170" s="108" t="s">
        <v>339</v>
      </c>
      <c r="B170" s="109"/>
      <c r="C170" s="109"/>
      <c r="D170" s="110"/>
      <c r="E170" s="111"/>
      <c r="F170" s="109"/>
      <c r="G170" s="109"/>
      <c r="H170" s="57" t="s">
        <v>339</v>
      </c>
      <c r="I170" s="112"/>
      <c r="J170" s="112"/>
      <c r="K170" s="57"/>
      <c r="L170" s="113"/>
      <c r="M170" s="114">
        <v>5061.736328125</v>
      </c>
      <c r="N170" s="114">
        <v>2020.3177490234375</v>
      </c>
      <c r="O170" s="115" t="s">
        <v>782</v>
      </c>
      <c r="P170" s="116"/>
      <c r="Q170" s="116"/>
      <c r="R170" s="147">
        <v>1</v>
      </c>
      <c r="S170" s="106"/>
      <c r="T170" s="106"/>
      <c r="U170" s="148">
        <v>0</v>
      </c>
      <c r="V170" s="148">
        <v>1.0579999999999999E-3</v>
      </c>
      <c r="W170" s="148">
        <v>1.292E-3</v>
      </c>
      <c r="X170" s="148">
        <v>0.46053899999999998</v>
      </c>
      <c r="Y170" s="148">
        <v>0</v>
      </c>
      <c r="Z170" s="107"/>
      <c r="AA170" s="117">
        <v>170</v>
      </c>
      <c r="AB17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0" s="118"/>
      <c r="AD170" s="145" t="str">
        <f>REPLACE(INDEX(GroupVertices[Group], MATCH(Vertices[[#This Row],[Vertex]],GroupVertices[Vertex],0)),1,1,"")</f>
        <v>11</v>
      </c>
      <c r="AE170" s="2"/>
      <c r="AI170" s="3"/>
    </row>
    <row r="171" spans="1:35" x14ac:dyDescent="0.3">
      <c r="A171" s="108" t="s">
        <v>190</v>
      </c>
      <c r="B171" s="109"/>
      <c r="C171" s="109"/>
      <c r="D171" s="110"/>
      <c r="E171" s="111"/>
      <c r="F171" s="109"/>
      <c r="G171" s="109"/>
      <c r="H171" s="57" t="s">
        <v>722</v>
      </c>
      <c r="I171" s="112"/>
      <c r="J171" s="112"/>
      <c r="K171" s="57"/>
      <c r="L171" s="113"/>
      <c r="M171" s="114">
        <v>6609.78662109375</v>
      </c>
      <c r="N171" s="114">
        <v>6315.51953125</v>
      </c>
      <c r="O171" s="115" t="s">
        <v>782</v>
      </c>
      <c r="P171" s="116"/>
      <c r="Q171" s="116"/>
      <c r="R171" s="147">
        <v>2</v>
      </c>
      <c r="S171" s="106"/>
      <c r="T171" s="106"/>
      <c r="U171" s="148">
        <v>28.189872000000001</v>
      </c>
      <c r="V171" s="148">
        <v>1.1100000000000001E-3</v>
      </c>
      <c r="W171" s="148">
        <v>1.098E-3</v>
      </c>
      <c r="X171" s="148">
        <v>0.66811399999999999</v>
      </c>
      <c r="Y171" s="148">
        <v>0</v>
      </c>
      <c r="Z171" s="107"/>
      <c r="AA171" s="117">
        <v>171</v>
      </c>
      <c r="AB17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1" s="118"/>
      <c r="AD171" s="145" t="str">
        <f>REPLACE(INDEX(GroupVertices[Group], MATCH(Vertices[[#This Row],[Vertex]],GroupVertices[Vertex],0)),1,1,"")</f>
        <v>2</v>
      </c>
      <c r="AE171" s="2"/>
      <c r="AI171" s="3"/>
    </row>
    <row r="172" spans="1:35" x14ac:dyDescent="0.3">
      <c r="A172" s="108" t="s">
        <v>361</v>
      </c>
      <c r="B172" s="109"/>
      <c r="C172" s="109"/>
      <c r="D172" s="110"/>
      <c r="E172" s="111"/>
      <c r="F172" s="109"/>
      <c r="G172" s="109"/>
      <c r="H172" s="57" t="s">
        <v>361</v>
      </c>
      <c r="I172" s="112"/>
      <c r="J172" s="112"/>
      <c r="K172" s="57"/>
      <c r="L172" s="113"/>
      <c r="M172" s="114">
        <v>2578.465576171875</v>
      </c>
      <c r="N172" s="114">
        <v>5346.484375</v>
      </c>
      <c r="O172" s="115" t="s">
        <v>782</v>
      </c>
      <c r="P172" s="116"/>
      <c r="Q172" s="116"/>
      <c r="R172" s="147">
        <v>1</v>
      </c>
      <c r="S172" s="106"/>
      <c r="T172" s="106"/>
      <c r="U172" s="148">
        <v>0</v>
      </c>
      <c r="V172" s="148">
        <v>1.1150000000000001E-3</v>
      </c>
      <c r="W172" s="148">
        <v>3.522E-3</v>
      </c>
      <c r="X172" s="148">
        <v>0.38897900000000002</v>
      </c>
      <c r="Y172" s="148">
        <v>0</v>
      </c>
      <c r="Z172" s="107"/>
      <c r="AA172" s="117">
        <v>172</v>
      </c>
      <c r="AB17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2" s="118"/>
      <c r="AD172" s="145" t="str">
        <f>REPLACE(INDEX(GroupVertices[Group], MATCH(Vertices[[#This Row],[Vertex]],GroupVertices[Vertex],0)),1,1,"")</f>
        <v>6</v>
      </c>
      <c r="AE172" s="2"/>
      <c r="AI172" s="3"/>
    </row>
    <row r="173" spans="1:35" x14ac:dyDescent="0.3">
      <c r="A173" s="108" t="s">
        <v>350</v>
      </c>
      <c r="B173" s="109"/>
      <c r="C173" s="109"/>
      <c r="D173" s="110"/>
      <c r="E173" s="111"/>
      <c r="F173" s="109"/>
      <c r="G173" s="109"/>
      <c r="H173" s="57" t="s">
        <v>350</v>
      </c>
      <c r="I173" s="112"/>
      <c r="J173" s="112"/>
      <c r="K173" s="57"/>
      <c r="L173" s="113"/>
      <c r="M173" s="114">
        <v>5196.11865234375</v>
      </c>
      <c r="N173" s="114">
        <v>4091.91015625</v>
      </c>
      <c r="O173" s="115" t="s">
        <v>782</v>
      </c>
      <c r="P173" s="116"/>
      <c r="Q173" s="116"/>
      <c r="R173" s="147">
        <v>3</v>
      </c>
      <c r="S173" s="106"/>
      <c r="T173" s="106"/>
      <c r="U173" s="148">
        <v>16.858132999999999</v>
      </c>
      <c r="V173" s="148">
        <v>1.2149999999999999E-3</v>
      </c>
      <c r="W173" s="148">
        <v>1.0272E-2</v>
      </c>
      <c r="X173" s="148">
        <v>0.82280399999999998</v>
      </c>
      <c r="Y173" s="148">
        <v>0.33333333333333331</v>
      </c>
      <c r="Z173" s="107"/>
      <c r="AA173" s="117">
        <v>173</v>
      </c>
      <c r="AB17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3" s="118"/>
      <c r="AD173" s="145" t="str">
        <f>REPLACE(INDEX(GroupVertices[Group], MATCH(Vertices[[#This Row],[Vertex]],GroupVertices[Vertex],0)),1,1,"")</f>
        <v>3</v>
      </c>
      <c r="AE173" s="2"/>
      <c r="AI173" s="3"/>
    </row>
    <row r="174" spans="1:35" x14ac:dyDescent="0.3">
      <c r="A174" s="108" t="s">
        <v>388</v>
      </c>
      <c r="B174" s="109"/>
      <c r="C174" s="109"/>
      <c r="D174" s="110"/>
      <c r="E174" s="111"/>
      <c r="F174" s="109"/>
      <c r="G174" s="109"/>
      <c r="H174" s="57" t="s">
        <v>723</v>
      </c>
      <c r="I174" s="112"/>
      <c r="J174" s="112"/>
      <c r="K174" s="57"/>
      <c r="L174" s="113"/>
      <c r="M174" s="114">
        <v>6509.32177734375</v>
      </c>
      <c r="N174" s="114">
        <v>8090.52783203125</v>
      </c>
      <c r="O174" s="115" t="s">
        <v>782</v>
      </c>
      <c r="P174" s="116"/>
      <c r="Q174" s="116"/>
      <c r="R174" s="147">
        <v>1</v>
      </c>
      <c r="S174" s="106"/>
      <c r="T174" s="106"/>
      <c r="U174" s="148">
        <v>0</v>
      </c>
      <c r="V174" s="148">
        <v>9.4700000000000003E-4</v>
      </c>
      <c r="W174" s="148">
        <v>4.6999999999999999E-4</v>
      </c>
      <c r="X174" s="148">
        <v>0.42210500000000001</v>
      </c>
      <c r="Y174" s="148">
        <v>0</v>
      </c>
      <c r="Z174" s="107"/>
      <c r="AA174" s="117">
        <v>174</v>
      </c>
      <c r="AB17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4" s="118"/>
      <c r="AD174" s="145" t="str">
        <f>REPLACE(INDEX(GroupVertices[Group], MATCH(Vertices[[#This Row],[Vertex]],GroupVertices[Vertex],0)),1,1,"")</f>
        <v>9</v>
      </c>
      <c r="AE174" s="2"/>
      <c r="AI174" s="3"/>
    </row>
    <row r="175" spans="1:35" x14ac:dyDescent="0.3">
      <c r="A175" s="108" t="s">
        <v>564</v>
      </c>
      <c r="B175" s="109"/>
      <c r="C175" s="109"/>
      <c r="D175" s="110"/>
      <c r="E175" s="111"/>
      <c r="F175" s="109"/>
      <c r="G175" s="109"/>
      <c r="H175" s="57" t="s">
        <v>564</v>
      </c>
      <c r="I175" s="112"/>
      <c r="J175" s="112"/>
      <c r="K175" s="57"/>
      <c r="L175" s="113"/>
      <c r="M175" s="114">
        <v>2025.806640625</v>
      </c>
      <c r="N175" s="114">
        <v>4286.29443359375</v>
      </c>
      <c r="O175" s="115" t="s">
        <v>782</v>
      </c>
      <c r="P175" s="116"/>
      <c r="Q175" s="116"/>
      <c r="R175" s="147"/>
      <c r="S175" s="106"/>
      <c r="T175" s="106"/>
      <c r="U175" s="148"/>
      <c r="V175" s="148"/>
      <c r="W175" s="148"/>
      <c r="X175" s="148"/>
      <c r="Y175" s="148"/>
      <c r="Z175" s="107"/>
      <c r="AA175" s="117">
        <v>175</v>
      </c>
      <c r="AB17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5" s="118"/>
      <c r="AD175" s="145" t="str">
        <f>REPLACE(INDEX(GroupVertices[Group], MATCH(Vertices[[#This Row],[Vertex]],GroupVertices[Vertex],0)),1,1,"")</f>
        <v>9</v>
      </c>
      <c r="AE175" s="2"/>
      <c r="AI175" s="3"/>
    </row>
    <row r="176" spans="1:35" x14ac:dyDescent="0.3">
      <c r="A176" s="108" t="s">
        <v>337</v>
      </c>
      <c r="B176" s="109"/>
      <c r="C176" s="109"/>
      <c r="D176" s="110"/>
      <c r="E176" s="111"/>
      <c r="F176" s="109"/>
      <c r="G176" s="109"/>
      <c r="H176" s="57" t="s">
        <v>337</v>
      </c>
      <c r="I176" s="112"/>
      <c r="J176" s="112"/>
      <c r="K176" s="57"/>
      <c r="L176" s="113"/>
      <c r="M176" s="114">
        <v>5672.94287109375</v>
      </c>
      <c r="N176" s="114">
        <v>2550.835205078125</v>
      </c>
      <c r="O176" s="115" t="s">
        <v>782</v>
      </c>
      <c r="P176" s="116"/>
      <c r="Q176" s="116"/>
      <c r="R176" s="147">
        <v>1</v>
      </c>
      <c r="S176" s="106"/>
      <c r="T176" s="106"/>
      <c r="U176" s="148">
        <v>0</v>
      </c>
      <c r="V176" s="148">
        <v>1.0579999999999999E-3</v>
      </c>
      <c r="W176" s="148">
        <v>1.292E-3</v>
      </c>
      <c r="X176" s="148">
        <v>0.46053899999999998</v>
      </c>
      <c r="Y176" s="148">
        <v>0</v>
      </c>
      <c r="Z176" s="107"/>
      <c r="AA176" s="117">
        <v>176</v>
      </c>
      <c r="AB17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6" s="118"/>
      <c r="AD176" s="145" t="str">
        <f>REPLACE(INDEX(GroupVertices[Group], MATCH(Vertices[[#This Row],[Vertex]],GroupVertices[Vertex],0)),1,1,"")</f>
        <v>11</v>
      </c>
      <c r="AE176" s="2"/>
      <c r="AI176" s="3"/>
    </row>
    <row r="177" spans="1:35" x14ac:dyDescent="0.3">
      <c r="A177" s="108" t="s">
        <v>199</v>
      </c>
      <c r="B177" s="109"/>
      <c r="C177" s="109"/>
      <c r="D177" s="110"/>
      <c r="E177" s="111"/>
      <c r="F177" s="109"/>
      <c r="G177" s="109"/>
      <c r="H177" s="57" t="s">
        <v>199</v>
      </c>
      <c r="I177" s="112"/>
      <c r="J177" s="112"/>
      <c r="K177" s="57"/>
      <c r="L177" s="113"/>
      <c r="M177" s="114">
        <v>5343.34716796875</v>
      </c>
      <c r="N177" s="114">
        <v>7162.60107421875</v>
      </c>
      <c r="O177" s="115" t="s">
        <v>782</v>
      </c>
      <c r="P177" s="116"/>
      <c r="Q177" s="116"/>
      <c r="R177" s="147">
        <v>2</v>
      </c>
      <c r="S177" s="106"/>
      <c r="T177" s="106"/>
      <c r="U177" s="148">
        <v>222.79120900000001</v>
      </c>
      <c r="V177" s="148">
        <v>1.1640000000000001E-3</v>
      </c>
      <c r="W177" s="148">
        <v>1.5759999999999999E-3</v>
      </c>
      <c r="X177" s="148">
        <v>0.70861499999999999</v>
      </c>
      <c r="Y177" s="148">
        <v>0</v>
      </c>
      <c r="Z177" s="107"/>
      <c r="AA177" s="117">
        <v>177</v>
      </c>
      <c r="AB17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7" s="118"/>
      <c r="AD177" s="145" t="str">
        <f>REPLACE(INDEX(GroupVertices[Group], MATCH(Vertices[[#This Row],[Vertex]],GroupVertices[Vertex],0)),1,1,"")</f>
        <v>9</v>
      </c>
      <c r="AE177" s="2"/>
      <c r="AI177" s="3"/>
    </row>
    <row r="178" spans="1:35" x14ac:dyDescent="0.3">
      <c r="A178" s="108" t="s">
        <v>317</v>
      </c>
      <c r="B178" s="109"/>
      <c r="C178" s="109"/>
      <c r="D178" s="110"/>
      <c r="E178" s="111"/>
      <c r="F178" s="109"/>
      <c r="G178" s="109"/>
      <c r="H178" s="57" t="s">
        <v>317</v>
      </c>
      <c r="I178" s="112"/>
      <c r="J178" s="112"/>
      <c r="K178" s="57"/>
      <c r="L178" s="113"/>
      <c r="M178" s="114">
        <v>3743.53466796875</v>
      </c>
      <c r="N178" s="114">
        <v>1600.1715087890625</v>
      </c>
      <c r="O178" s="115" t="s">
        <v>782</v>
      </c>
      <c r="P178" s="116"/>
      <c r="Q178" s="116"/>
      <c r="R178" s="147">
        <v>1</v>
      </c>
      <c r="S178" s="106"/>
      <c r="T178" s="106"/>
      <c r="U178" s="148">
        <v>0</v>
      </c>
      <c r="V178" s="148">
        <v>1.1000000000000001E-3</v>
      </c>
      <c r="W178" s="148">
        <v>3.7160000000000001E-3</v>
      </c>
      <c r="X178" s="148">
        <v>0.38369799999999998</v>
      </c>
      <c r="Y178" s="148">
        <v>0</v>
      </c>
      <c r="Z178" s="107"/>
      <c r="AA178" s="117">
        <v>178</v>
      </c>
      <c r="AB17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8" s="118"/>
      <c r="AD178" s="145" t="str">
        <f>REPLACE(INDEX(GroupVertices[Group], MATCH(Vertices[[#This Row],[Vertex]],GroupVertices[Vertex],0)),1,1,"")</f>
        <v>4</v>
      </c>
      <c r="AE178" s="2"/>
      <c r="AI178" s="3"/>
    </row>
    <row r="179" spans="1:35" x14ac:dyDescent="0.3">
      <c r="A179" s="108" t="s">
        <v>323</v>
      </c>
      <c r="B179" s="109"/>
      <c r="C179" s="109"/>
      <c r="D179" s="110"/>
      <c r="E179" s="111"/>
      <c r="F179" s="109"/>
      <c r="G179" s="109"/>
      <c r="H179" s="57" t="s">
        <v>323</v>
      </c>
      <c r="I179" s="112"/>
      <c r="J179" s="112"/>
      <c r="K179" s="57"/>
      <c r="L179" s="113"/>
      <c r="M179" s="114">
        <v>3062.8046875</v>
      </c>
      <c r="N179" s="114">
        <v>2509.295166015625</v>
      </c>
      <c r="O179" s="115" t="s">
        <v>782</v>
      </c>
      <c r="P179" s="116"/>
      <c r="Q179" s="116"/>
      <c r="R179" s="147">
        <v>1</v>
      </c>
      <c r="S179" s="106"/>
      <c r="T179" s="106"/>
      <c r="U179" s="148">
        <v>0</v>
      </c>
      <c r="V179" s="148">
        <v>1.1360000000000001E-3</v>
      </c>
      <c r="W179" s="148">
        <v>4.4010000000000004E-3</v>
      </c>
      <c r="X179" s="148">
        <v>0.37196000000000001</v>
      </c>
      <c r="Y179" s="148">
        <v>0</v>
      </c>
      <c r="Z179" s="107"/>
      <c r="AA179" s="117">
        <v>179</v>
      </c>
      <c r="AB17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79" s="118"/>
      <c r="AD179" s="145" t="str">
        <f>REPLACE(INDEX(GroupVertices[Group], MATCH(Vertices[[#This Row],[Vertex]],GroupVertices[Vertex],0)),1,1,"")</f>
        <v>4</v>
      </c>
      <c r="AE179" s="2"/>
      <c r="AI179" s="3"/>
    </row>
    <row r="180" spans="1:35" x14ac:dyDescent="0.3">
      <c r="A180" s="108" t="s">
        <v>304</v>
      </c>
      <c r="B180" s="109"/>
      <c r="C180" s="109"/>
      <c r="D180" s="110"/>
      <c r="E180" s="111"/>
      <c r="F180" s="109"/>
      <c r="G180" s="109"/>
      <c r="H180" s="57" t="s">
        <v>304</v>
      </c>
      <c r="I180" s="112"/>
      <c r="J180" s="112"/>
      <c r="K180" s="57"/>
      <c r="L180" s="113"/>
      <c r="M180" s="114">
        <v>1511.646484375</v>
      </c>
      <c r="N180" s="114">
        <v>1970.7757568359375</v>
      </c>
      <c r="O180" s="115" t="s">
        <v>782</v>
      </c>
      <c r="P180" s="116"/>
      <c r="Q180" s="116"/>
      <c r="R180" s="147">
        <v>1</v>
      </c>
      <c r="S180" s="106"/>
      <c r="T180" s="106"/>
      <c r="U180" s="148">
        <v>0</v>
      </c>
      <c r="V180" s="148">
        <v>1.0460000000000001E-3</v>
      </c>
      <c r="W180" s="148">
        <v>2.3349999999999998E-3</v>
      </c>
      <c r="X180" s="148">
        <v>0.40768399999999999</v>
      </c>
      <c r="Y180" s="148">
        <v>0</v>
      </c>
      <c r="Z180" s="107"/>
      <c r="AA180" s="117">
        <v>180</v>
      </c>
      <c r="AB18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0" s="118"/>
      <c r="AD180" s="145" t="str">
        <f>REPLACE(INDEX(GroupVertices[Group], MATCH(Vertices[[#This Row],[Vertex]],GroupVertices[Vertex],0)),1,1,"")</f>
        <v>4</v>
      </c>
      <c r="AE180" s="2"/>
      <c r="AI180" s="3"/>
    </row>
    <row r="181" spans="1:35" x14ac:dyDescent="0.3">
      <c r="A181" s="108" t="s">
        <v>279</v>
      </c>
      <c r="B181" s="109"/>
      <c r="C181" s="109"/>
      <c r="D181" s="110"/>
      <c r="E181" s="111"/>
      <c r="F181" s="109"/>
      <c r="G181" s="109"/>
      <c r="H181" s="57" t="s">
        <v>279</v>
      </c>
      <c r="I181" s="112"/>
      <c r="J181" s="112"/>
      <c r="K181" s="57"/>
      <c r="L181" s="113"/>
      <c r="M181" s="114">
        <v>2718.92431640625</v>
      </c>
      <c r="N181" s="114">
        <v>7843.43505859375</v>
      </c>
      <c r="O181" s="115" t="s">
        <v>782</v>
      </c>
      <c r="P181" s="116"/>
      <c r="Q181" s="116"/>
      <c r="R181" s="147">
        <v>1</v>
      </c>
      <c r="S181" s="106"/>
      <c r="T181" s="106"/>
      <c r="U181" s="148">
        <v>0</v>
      </c>
      <c r="V181" s="148">
        <v>1.0280000000000001E-3</v>
      </c>
      <c r="W181" s="148">
        <v>1.3829999999999999E-3</v>
      </c>
      <c r="X181" s="148">
        <v>0.42460599999999998</v>
      </c>
      <c r="Y181" s="148">
        <v>0</v>
      </c>
      <c r="Z181" s="107"/>
      <c r="AA181" s="117">
        <v>181</v>
      </c>
      <c r="AB18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1" s="118"/>
      <c r="AD181" s="145" t="str">
        <f>REPLACE(INDEX(GroupVertices[Group], MATCH(Vertices[[#This Row],[Vertex]],GroupVertices[Vertex],0)),1,1,"")</f>
        <v>6</v>
      </c>
      <c r="AE181" s="2"/>
      <c r="AI181" s="3"/>
    </row>
    <row r="182" spans="1:35" x14ac:dyDescent="0.3">
      <c r="A182" s="108" t="s">
        <v>376</v>
      </c>
      <c r="B182" s="109"/>
      <c r="C182" s="109"/>
      <c r="D182" s="110"/>
      <c r="E182" s="111"/>
      <c r="F182" s="109"/>
      <c r="G182" s="109"/>
      <c r="H182" s="57" t="s">
        <v>376</v>
      </c>
      <c r="I182" s="112"/>
      <c r="J182" s="112"/>
      <c r="K182" s="57"/>
      <c r="L182" s="113"/>
      <c r="M182" s="114">
        <v>5271.27734375</v>
      </c>
      <c r="N182" s="114">
        <v>4744.61669921875</v>
      </c>
      <c r="O182" s="115" t="s">
        <v>782</v>
      </c>
      <c r="P182" s="116"/>
      <c r="Q182" s="116"/>
      <c r="R182" s="147">
        <v>2</v>
      </c>
      <c r="S182" s="106"/>
      <c r="T182" s="106"/>
      <c r="U182" s="148">
        <v>66.701570000000004</v>
      </c>
      <c r="V182" s="148">
        <v>1.2520000000000001E-3</v>
      </c>
      <c r="W182" s="148">
        <v>5.8190000000000004E-3</v>
      </c>
      <c r="X182" s="148">
        <v>0.59838899999999995</v>
      </c>
      <c r="Y182" s="148">
        <v>0</v>
      </c>
      <c r="Z182" s="107"/>
      <c r="AA182" s="117">
        <v>182</v>
      </c>
      <c r="AB18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2" s="118"/>
      <c r="AD182" s="145" t="str">
        <f>REPLACE(INDEX(GroupVertices[Group], MATCH(Vertices[[#This Row],[Vertex]],GroupVertices[Vertex],0)),1,1,"")</f>
        <v>3</v>
      </c>
      <c r="AE182" s="2"/>
      <c r="AI182" s="3"/>
    </row>
    <row r="183" spans="1:35" x14ac:dyDescent="0.3">
      <c r="A183" s="108" t="s">
        <v>274</v>
      </c>
      <c r="B183" s="109"/>
      <c r="C183" s="109"/>
      <c r="D183" s="110"/>
      <c r="E183" s="111"/>
      <c r="F183" s="109"/>
      <c r="G183" s="109"/>
      <c r="H183" s="57" t="s">
        <v>724</v>
      </c>
      <c r="I183" s="112"/>
      <c r="J183" s="112"/>
      <c r="K183" s="57"/>
      <c r="L183" s="113"/>
      <c r="M183" s="114">
        <v>3260.562744140625</v>
      </c>
      <c r="N183" s="114">
        <v>8089.8662109375</v>
      </c>
      <c r="O183" s="115" t="s">
        <v>782</v>
      </c>
      <c r="P183" s="116"/>
      <c r="Q183" s="116"/>
      <c r="R183" s="147">
        <v>1</v>
      </c>
      <c r="S183" s="106"/>
      <c r="T183" s="106"/>
      <c r="U183" s="148">
        <v>0</v>
      </c>
      <c r="V183" s="148">
        <v>1.0280000000000001E-3</v>
      </c>
      <c r="W183" s="148">
        <v>1.3829999999999999E-3</v>
      </c>
      <c r="X183" s="148">
        <v>0.42460599999999998</v>
      </c>
      <c r="Y183" s="148">
        <v>0</v>
      </c>
      <c r="Z183" s="107"/>
      <c r="AA183" s="117">
        <v>183</v>
      </c>
      <c r="AB18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3" s="118"/>
      <c r="AD183" s="145" t="str">
        <f>REPLACE(INDEX(GroupVertices[Group], MATCH(Vertices[[#This Row],[Vertex]],GroupVertices[Vertex],0)),1,1,"")</f>
        <v>6</v>
      </c>
      <c r="AE183" s="2"/>
      <c r="AI183" s="3"/>
    </row>
    <row r="184" spans="1:35" x14ac:dyDescent="0.3">
      <c r="A184" s="108" t="s">
        <v>380</v>
      </c>
      <c r="B184" s="109"/>
      <c r="C184" s="109"/>
      <c r="D184" s="110"/>
      <c r="E184" s="111"/>
      <c r="F184" s="109"/>
      <c r="G184" s="109"/>
      <c r="H184" s="57" t="s">
        <v>725</v>
      </c>
      <c r="I184" s="112"/>
      <c r="J184" s="112"/>
      <c r="K184" s="57"/>
      <c r="L184" s="113"/>
      <c r="M184" s="114">
        <v>4432.8037109375</v>
      </c>
      <c r="N184" s="114">
        <v>3009.30126953125</v>
      </c>
      <c r="O184" s="115" t="s">
        <v>782</v>
      </c>
      <c r="P184" s="116"/>
      <c r="Q184" s="116"/>
      <c r="R184" s="147">
        <v>1</v>
      </c>
      <c r="S184" s="106"/>
      <c r="T184" s="106"/>
      <c r="U184" s="148">
        <v>0</v>
      </c>
      <c r="V184" s="148">
        <v>1.199E-3</v>
      </c>
      <c r="W184" s="148">
        <v>4.2469999999999999E-3</v>
      </c>
      <c r="X184" s="148">
        <v>0.37396499999999999</v>
      </c>
      <c r="Y184" s="148">
        <v>0</v>
      </c>
      <c r="Z184" s="107"/>
      <c r="AA184" s="117">
        <v>184</v>
      </c>
      <c r="AB18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4" s="118"/>
      <c r="AD184" s="145" t="str">
        <f>REPLACE(INDEX(GroupVertices[Group], MATCH(Vertices[[#This Row],[Vertex]],GroupVertices[Vertex],0)),1,1,"")</f>
        <v>3</v>
      </c>
      <c r="AE184" s="2"/>
      <c r="AI184" s="3"/>
    </row>
    <row r="185" spans="1:35" x14ac:dyDescent="0.3">
      <c r="A185" s="108" t="s">
        <v>393</v>
      </c>
      <c r="B185" s="109"/>
      <c r="C185" s="109"/>
      <c r="D185" s="110"/>
      <c r="E185" s="111"/>
      <c r="F185" s="109"/>
      <c r="G185" s="109"/>
      <c r="H185" s="57" t="s">
        <v>393</v>
      </c>
      <c r="I185" s="112"/>
      <c r="J185" s="112"/>
      <c r="K185" s="57"/>
      <c r="L185" s="113"/>
      <c r="M185" s="114">
        <v>6432.32861328125</v>
      </c>
      <c r="N185" s="114">
        <v>9110.095703125</v>
      </c>
      <c r="O185" s="115" t="s">
        <v>782</v>
      </c>
      <c r="P185" s="116"/>
      <c r="Q185" s="116"/>
      <c r="R185" s="147">
        <v>1</v>
      </c>
      <c r="S185" s="106"/>
      <c r="T185" s="106"/>
      <c r="U185" s="148">
        <v>0</v>
      </c>
      <c r="V185" s="148">
        <v>8.6399999999999997E-4</v>
      </c>
      <c r="W185" s="148">
        <v>1.1900000000000001E-4</v>
      </c>
      <c r="X185" s="148">
        <v>0.46751999999999999</v>
      </c>
      <c r="Y185" s="148">
        <v>0</v>
      </c>
      <c r="Z185" s="107"/>
      <c r="AA185" s="117">
        <v>185</v>
      </c>
      <c r="AB18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5" s="118"/>
      <c r="AD185" s="145" t="str">
        <f>REPLACE(INDEX(GroupVertices[Group], MATCH(Vertices[[#This Row],[Vertex]],GroupVertices[Vertex],0)),1,1,"")</f>
        <v>9</v>
      </c>
      <c r="AE185" s="2"/>
      <c r="AI185" s="3"/>
    </row>
    <row r="186" spans="1:35" x14ac:dyDescent="0.3">
      <c r="A186" s="108" t="s">
        <v>280</v>
      </c>
      <c r="B186" s="109"/>
      <c r="C186" s="109"/>
      <c r="D186" s="110"/>
      <c r="E186" s="111"/>
      <c r="F186" s="109"/>
      <c r="G186" s="109"/>
      <c r="H186" s="57" t="s">
        <v>280</v>
      </c>
      <c r="I186" s="112"/>
      <c r="J186" s="112"/>
      <c r="K186" s="57"/>
      <c r="L186" s="113"/>
      <c r="M186" s="114">
        <v>3030.589599609375</v>
      </c>
      <c r="N186" s="114">
        <v>8196.576171875</v>
      </c>
      <c r="O186" s="115" t="s">
        <v>782</v>
      </c>
      <c r="P186" s="116"/>
      <c r="Q186" s="116"/>
      <c r="R186" s="147">
        <v>1</v>
      </c>
      <c r="S186" s="106"/>
      <c r="T186" s="106"/>
      <c r="U186" s="148">
        <v>0</v>
      </c>
      <c r="V186" s="148">
        <v>1.0280000000000001E-3</v>
      </c>
      <c r="W186" s="148">
        <v>1.3829999999999999E-3</v>
      </c>
      <c r="X186" s="148">
        <v>0.42460599999999998</v>
      </c>
      <c r="Y186" s="148">
        <v>0</v>
      </c>
      <c r="Z186" s="107"/>
      <c r="AA186" s="117">
        <v>186</v>
      </c>
      <c r="AB18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6" s="118"/>
      <c r="AD186" s="145" t="str">
        <f>REPLACE(INDEX(GroupVertices[Group], MATCH(Vertices[[#This Row],[Vertex]],GroupVertices[Vertex],0)),1,1,"")</f>
        <v>6</v>
      </c>
      <c r="AE186" s="2"/>
      <c r="AI186" s="3"/>
    </row>
    <row r="187" spans="1:35" x14ac:dyDescent="0.3">
      <c r="A187" s="108" t="s">
        <v>390</v>
      </c>
      <c r="B187" s="109"/>
      <c r="C187" s="109"/>
      <c r="D187" s="110"/>
      <c r="E187" s="111"/>
      <c r="F187" s="109"/>
      <c r="G187" s="109"/>
      <c r="H187" s="57" t="s">
        <v>390</v>
      </c>
      <c r="I187" s="112"/>
      <c r="J187" s="112"/>
      <c r="K187" s="57"/>
      <c r="L187" s="113"/>
      <c r="M187" s="114">
        <v>6516.70068359375</v>
      </c>
      <c r="N187" s="114">
        <v>4530.9052734375</v>
      </c>
      <c r="O187" s="115" t="s">
        <v>782</v>
      </c>
      <c r="P187" s="116"/>
      <c r="Q187" s="116"/>
      <c r="R187" s="147">
        <v>2</v>
      </c>
      <c r="S187" s="106"/>
      <c r="T187" s="106"/>
      <c r="U187" s="148">
        <v>2.6166670000000001</v>
      </c>
      <c r="V187" s="148">
        <v>1.0529999999999999E-3</v>
      </c>
      <c r="W187" s="148">
        <v>3.5430000000000001E-3</v>
      </c>
      <c r="X187" s="148">
        <v>0.59982000000000002</v>
      </c>
      <c r="Y187" s="148">
        <v>0</v>
      </c>
      <c r="Z187" s="107"/>
      <c r="AA187" s="117">
        <v>187</v>
      </c>
      <c r="AB18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7" s="118"/>
      <c r="AD187" s="145" t="str">
        <f>REPLACE(INDEX(GroupVertices[Group], MATCH(Vertices[[#This Row],[Vertex]],GroupVertices[Vertex],0)),1,1,"")</f>
        <v>3</v>
      </c>
      <c r="AE187" s="2"/>
      <c r="AI187" s="3"/>
    </row>
    <row r="188" spans="1:35" x14ac:dyDescent="0.3">
      <c r="A188" s="108" t="s">
        <v>387</v>
      </c>
      <c r="B188" s="109"/>
      <c r="C188" s="109"/>
      <c r="D188" s="110"/>
      <c r="E188" s="111"/>
      <c r="F188" s="109"/>
      <c r="G188" s="109"/>
      <c r="H188" s="57" t="s">
        <v>387</v>
      </c>
      <c r="I188" s="112"/>
      <c r="J188" s="112"/>
      <c r="K188" s="57"/>
      <c r="L188" s="113"/>
      <c r="M188" s="114">
        <v>5961.47119140625</v>
      </c>
      <c r="N188" s="114">
        <v>8169.4384765625</v>
      </c>
      <c r="O188" s="115" t="s">
        <v>782</v>
      </c>
      <c r="P188" s="116"/>
      <c r="Q188" s="116"/>
      <c r="R188" s="147">
        <v>3</v>
      </c>
      <c r="S188" s="106"/>
      <c r="T188" s="106"/>
      <c r="U188" s="148">
        <v>254.91666699999999</v>
      </c>
      <c r="V188" s="148">
        <v>1.0560000000000001E-3</v>
      </c>
      <c r="W188" s="148">
        <v>7.4200000000000004E-4</v>
      </c>
      <c r="X188" s="148">
        <v>1.1206579999999999</v>
      </c>
      <c r="Y188" s="148">
        <v>0</v>
      </c>
      <c r="Z188" s="107"/>
      <c r="AA188" s="117">
        <v>188</v>
      </c>
      <c r="AB18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8" s="118"/>
      <c r="AD188" s="145" t="str">
        <f>REPLACE(INDEX(GroupVertices[Group], MATCH(Vertices[[#This Row],[Vertex]],GroupVertices[Vertex],0)),1,1,"")</f>
        <v>9</v>
      </c>
      <c r="AE188" s="2"/>
      <c r="AI188" s="3"/>
    </row>
    <row r="189" spans="1:35" x14ac:dyDescent="0.3">
      <c r="A189" s="108" t="s">
        <v>214</v>
      </c>
      <c r="B189" s="109"/>
      <c r="C189" s="109"/>
      <c r="D189" s="110"/>
      <c r="E189" s="111"/>
      <c r="F189" s="109"/>
      <c r="G189" s="109"/>
      <c r="H189" s="57" t="s">
        <v>726</v>
      </c>
      <c r="I189" s="112"/>
      <c r="J189" s="112"/>
      <c r="K189" s="57"/>
      <c r="L189" s="113"/>
      <c r="M189" s="114">
        <v>4196.88623046875</v>
      </c>
      <c r="N189" s="114">
        <v>5672.62158203125</v>
      </c>
      <c r="O189" s="115" t="s">
        <v>782</v>
      </c>
      <c r="P189" s="116"/>
      <c r="Q189" s="116"/>
      <c r="R189" s="147">
        <v>6</v>
      </c>
      <c r="S189" s="106"/>
      <c r="T189" s="106"/>
      <c r="U189" s="148">
        <v>728.10599100000002</v>
      </c>
      <c r="V189" s="148">
        <v>1.328E-3</v>
      </c>
      <c r="W189" s="148">
        <v>9.6500000000000006E-3</v>
      </c>
      <c r="X189" s="148">
        <v>1.683028</v>
      </c>
      <c r="Y189" s="148">
        <v>0</v>
      </c>
      <c r="Z189" s="107"/>
      <c r="AA189" s="117">
        <v>189</v>
      </c>
      <c r="AB18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89" s="118"/>
      <c r="AD189" s="145" t="str">
        <f>REPLACE(INDEX(GroupVertices[Group], MATCH(Vertices[[#This Row],[Vertex]],GroupVertices[Vertex],0)),1,1,"")</f>
        <v>5</v>
      </c>
      <c r="AE189" s="2"/>
      <c r="AI189" s="3"/>
    </row>
    <row r="190" spans="1:35" x14ac:dyDescent="0.3">
      <c r="A190" s="108" t="s">
        <v>200</v>
      </c>
      <c r="B190" s="109"/>
      <c r="C190" s="109"/>
      <c r="D190" s="110"/>
      <c r="E190" s="111"/>
      <c r="F190" s="109"/>
      <c r="G190" s="109"/>
      <c r="H190" s="57" t="s">
        <v>200</v>
      </c>
      <c r="I190" s="112"/>
      <c r="J190" s="112"/>
      <c r="K190" s="57"/>
      <c r="L190" s="113"/>
      <c r="M190" s="114">
        <v>4627.42822265625</v>
      </c>
      <c r="N190" s="114">
        <v>5745.685546875</v>
      </c>
      <c r="O190" s="115" t="s">
        <v>782</v>
      </c>
      <c r="P190" s="116"/>
      <c r="Q190" s="116"/>
      <c r="R190" s="147">
        <v>7</v>
      </c>
      <c r="S190" s="106"/>
      <c r="T190" s="106"/>
      <c r="U190" s="148">
        <v>1587.0781890000001</v>
      </c>
      <c r="V190" s="148">
        <v>1.464E-3</v>
      </c>
      <c r="W190" s="148">
        <v>9.0849999999999993E-3</v>
      </c>
      <c r="X190" s="148">
        <v>1.985495</v>
      </c>
      <c r="Y190" s="148">
        <v>4.7619047619047616E-2</v>
      </c>
      <c r="Z190" s="107"/>
      <c r="AA190" s="117">
        <v>190</v>
      </c>
      <c r="AB19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0" s="118"/>
      <c r="AD190" s="145" t="str">
        <f>REPLACE(INDEX(GroupVertices[Group], MATCH(Vertices[[#This Row],[Vertex]],GroupVertices[Vertex],0)),1,1,"")</f>
        <v>5</v>
      </c>
      <c r="AE190" s="2"/>
      <c r="AI190" s="3"/>
    </row>
    <row r="191" spans="1:35" x14ac:dyDescent="0.3">
      <c r="A191" s="108" t="s">
        <v>283</v>
      </c>
      <c r="B191" s="109"/>
      <c r="C191" s="109"/>
      <c r="D191" s="110"/>
      <c r="E191" s="111"/>
      <c r="F191" s="109"/>
      <c r="G191" s="109"/>
      <c r="H191" s="57" t="s">
        <v>283</v>
      </c>
      <c r="I191" s="112"/>
      <c r="J191" s="112"/>
      <c r="K191" s="57"/>
      <c r="L191" s="113"/>
      <c r="M191" s="114">
        <v>4806.05859375</v>
      </c>
      <c r="N191" s="114">
        <v>4225.685546875</v>
      </c>
      <c r="O191" s="115" t="s">
        <v>782</v>
      </c>
      <c r="P191" s="116"/>
      <c r="Q191" s="116"/>
      <c r="R191" s="147">
        <v>2</v>
      </c>
      <c r="S191" s="106"/>
      <c r="T191" s="106"/>
      <c r="U191" s="148">
        <v>22.298914</v>
      </c>
      <c r="V191" s="148">
        <v>1.2110000000000001E-3</v>
      </c>
      <c r="W191" s="148">
        <v>3.96E-3</v>
      </c>
      <c r="X191" s="148">
        <v>0.64325200000000005</v>
      </c>
      <c r="Y191" s="148">
        <v>0</v>
      </c>
      <c r="Z191" s="107"/>
      <c r="AA191" s="117">
        <v>191</v>
      </c>
      <c r="AB19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1" s="118"/>
      <c r="AD191" s="145" t="str">
        <f>REPLACE(INDEX(GroupVertices[Group], MATCH(Vertices[[#This Row],[Vertex]],GroupVertices[Vertex],0)),1,1,"")</f>
        <v>2</v>
      </c>
      <c r="AE191" s="2"/>
      <c r="AI191" s="3"/>
    </row>
    <row r="192" spans="1:35" x14ac:dyDescent="0.3">
      <c r="A192" s="108" t="s">
        <v>278</v>
      </c>
      <c r="B192" s="109"/>
      <c r="C192" s="109"/>
      <c r="D192" s="110"/>
      <c r="E192" s="111"/>
      <c r="F192" s="109"/>
      <c r="G192" s="109"/>
      <c r="H192" s="57" t="s">
        <v>278</v>
      </c>
      <c r="I192" s="112"/>
      <c r="J192" s="112"/>
      <c r="K192" s="57"/>
      <c r="L192" s="113"/>
      <c r="M192" s="114">
        <v>3299.57177734375</v>
      </c>
      <c r="N192" s="114">
        <v>8284.7041015625</v>
      </c>
      <c r="O192" s="115" t="s">
        <v>782</v>
      </c>
      <c r="P192" s="116"/>
      <c r="Q192" s="116"/>
      <c r="R192" s="147">
        <v>1</v>
      </c>
      <c r="S192" s="106"/>
      <c r="T192" s="106"/>
      <c r="U192" s="148">
        <v>0</v>
      </c>
      <c r="V192" s="148">
        <v>1.0280000000000001E-3</v>
      </c>
      <c r="W192" s="148">
        <v>1.3829999999999999E-3</v>
      </c>
      <c r="X192" s="148">
        <v>0.42460599999999998</v>
      </c>
      <c r="Y192" s="148">
        <v>0</v>
      </c>
      <c r="Z192" s="107"/>
      <c r="AA192" s="117">
        <v>192</v>
      </c>
      <c r="AB19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2" s="118"/>
      <c r="AD192" s="145" t="str">
        <f>REPLACE(INDEX(GroupVertices[Group], MATCH(Vertices[[#This Row],[Vertex]],GroupVertices[Vertex],0)),1,1,"")</f>
        <v>6</v>
      </c>
      <c r="AE192" s="2"/>
      <c r="AI192" s="3"/>
    </row>
    <row r="193" spans="1:35" x14ac:dyDescent="0.3">
      <c r="A193" s="108" t="s">
        <v>201</v>
      </c>
      <c r="B193" s="109"/>
      <c r="C193" s="109"/>
      <c r="D193" s="110"/>
      <c r="E193" s="111"/>
      <c r="F193" s="109"/>
      <c r="G193" s="109"/>
      <c r="H193" s="57" t="s">
        <v>201</v>
      </c>
      <c r="I193" s="112"/>
      <c r="J193" s="112"/>
      <c r="K193" s="57"/>
      <c r="L193" s="113"/>
      <c r="M193" s="114">
        <v>7084.23388671875</v>
      </c>
      <c r="N193" s="114">
        <v>4334.89013671875</v>
      </c>
      <c r="O193" s="115" t="s">
        <v>782</v>
      </c>
      <c r="P193" s="116"/>
      <c r="Q193" s="116"/>
      <c r="R193" s="147">
        <v>1</v>
      </c>
      <c r="S193" s="106"/>
      <c r="T193" s="106"/>
      <c r="U193" s="148">
        <v>0</v>
      </c>
      <c r="V193" s="148">
        <v>9.8200000000000002E-4</v>
      </c>
      <c r="W193" s="148">
        <v>3.3199999999999999E-4</v>
      </c>
      <c r="X193" s="148">
        <v>0.42616799999999999</v>
      </c>
      <c r="Y193" s="148">
        <v>0</v>
      </c>
      <c r="Z193" s="107"/>
      <c r="AA193" s="117">
        <v>193</v>
      </c>
      <c r="AB19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3" s="118"/>
      <c r="AD193" s="145" t="str">
        <f>REPLACE(INDEX(GroupVertices[Group], MATCH(Vertices[[#This Row],[Vertex]],GroupVertices[Vertex],0)),1,1,"")</f>
        <v>7</v>
      </c>
      <c r="AE193" s="2"/>
      <c r="AI193" s="3"/>
    </row>
    <row r="194" spans="1:35" x14ac:dyDescent="0.3">
      <c r="A194" s="108" t="s">
        <v>332</v>
      </c>
      <c r="B194" s="109"/>
      <c r="C194" s="109"/>
      <c r="D194" s="110"/>
      <c r="E194" s="111"/>
      <c r="F194" s="109"/>
      <c r="G194" s="109"/>
      <c r="H194" s="57" t="s">
        <v>332</v>
      </c>
      <c r="I194" s="112"/>
      <c r="J194" s="112"/>
      <c r="K194" s="57"/>
      <c r="L194" s="113"/>
      <c r="M194" s="114">
        <v>344.43780517578125</v>
      </c>
      <c r="N194" s="114">
        <v>2257.77783203125</v>
      </c>
      <c r="O194" s="115" t="s">
        <v>782</v>
      </c>
      <c r="P194" s="116"/>
      <c r="Q194" s="116"/>
      <c r="R194" s="147">
        <v>1</v>
      </c>
      <c r="S194" s="106"/>
      <c r="T194" s="106"/>
      <c r="U194" s="148">
        <v>0</v>
      </c>
      <c r="V194" s="148">
        <v>9.6100000000000005E-4</v>
      </c>
      <c r="W194" s="148">
        <v>4.8700000000000002E-4</v>
      </c>
      <c r="X194" s="148">
        <v>0.52211300000000005</v>
      </c>
      <c r="Y194" s="148">
        <v>0</v>
      </c>
      <c r="Z194" s="107"/>
      <c r="AA194" s="117">
        <v>194</v>
      </c>
      <c r="AB19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4" s="118"/>
      <c r="AD194" s="145" t="str">
        <f>REPLACE(INDEX(GroupVertices[Group], MATCH(Vertices[[#This Row],[Vertex]],GroupVertices[Vertex],0)),1,1,"")</f>
        <v>8</v>
      </c>
      <c r="AE194" s="2"/>
      <c r="AI194" s="3"/>
    </row>
    <row r="195" spans="1:35" x14ac:dyDescent="0.3">
      <c r="A195" s="108" t="s">
        <v>225</v>
      </c>
      <c r="B195" s="109"/>
      <c r="C195" s="109"/>
      <c r="D195" s="110"/>
      <c r="E195" s="111"/>
      <c r="F195" s="109"/>
      <c r="G195" s="109"/>
      <c r="H195" s="57" t="s">
        <v>225</v>
      </c>
      <c r="I195" s="112"/>
      <c r="J195" s="112"/>
      <c r="K195" s="57"/>
      <c r="L195" s="113"/>
      <c r="M195" s="114">
        <v>6487.8193359375</v>
      </c>
      <c r="N195" s="114">
        <v>6439.02099609375</v>
      </c>
      <c r="O195" s="115" t="s">
        <v>782</v>
      </c>
      <c r="P195" s="116"/>
      <c r="Q195" s="116"/>
      <c r="R195" s="147">
        <v>2</v>
      </c>
      <c r="S195" s="106"/>
      <c r="T195" s="106"/>
      <c r="U195" s="148">
        <v>28.189872000000001</v>
      </c>
      <c r="V195" s="148">
        <v>1.1100000000000001E-3</v>
      </c>
      <c r="W195" s="148">
        <v>1.098E-3</v>
      </c>
      <c r="X195" s="148">
        <v>0.66811399999999999</v>
      </c>
      <c r="Y195" s="148">
        <v>0</v>
      </c>
      <c r="Z195" s="107"/>
      <c r="AA195" s="117">
        <v>195</v>
      </c>
      <c r="AB19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5" s="118"/>
      <c r="AD195" s="145" t="str">
        <f>REPLACE(INDEX(GroupVertices[Group], MATCH(Vertices[[#This Row],[Vertex]],GroupVertices[Vertex],0)),1,1,"")</f>
        <v>2</v>
      </c>
      <c r="AE195" s="2"/>
      <c r="AI195" s="3"/>
    </row>
    <row r="196" spans="1:35" x14ac:dyDescent="0.3">
      <c r="A196" s="108" t="s">
        <v>560</v>
      </c>
      <c r="B196" s="109"/>
      <c r="C196" s="109"/>
      <c r="D196" s="110"/>
      <c r="E196" s="111"/>
      <c r="F196" s="109"/>
      <c r="G196" s="109"/>
      <c r="H196" s="57" t="s">
        <v>560</v>
      </c>
      <c r="I196" s="112"/>
      <c r="J196" s="112"/>
      <c r="K196" s="57"/>
      <c r="L196" s="113"/>
      <c r="M196" s="114">
        <v>2069.521240234375</v>
      </c>
      <c r="N196" s="114">
        <v>4855.89501953125</v>
      </c>
      <c r="O196" s="115" t="s">
        <v>782</v>
      </c>
      <c r="P196" s="116"/>
      <c r="Q196" s="116"/>
      <c r="R196" s="147"/>
      <c r="S196" s="106"/>
      <c r="T196" s="106"/>
      <c r="U196" s="148"/>
      <c r="V196" s="148"/>
      <c r="W196" s="148"/>
      <c r="X196" s="148"/>
      <c r="Y196" s="148"/>
      <c r="Z196" s="107"/>
      <c r="AA196" s="117">
        <v>196</v>
      </c>
      <c r="AB19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6" s="118"/>
      <c r="AD196" s="145" t="str">
        <f>REPLACE(INDEX(GroupVertices[Group], MATCH(Vertices[[#This Row],[Vertex]],GroupVertices[Vertex],0)),1,1,"")</f>
        <v>9</v>
      </c>
      <c r="AE196" s="2"/>
      <c r="AI196" s="3"/>
    </row>
    <row r="197" spans="1:35" x14ac:dyDescent="0.3">
      <c r="A197" s="108" t="s">
        <v>308</v>
      </c>
      <c r="B197" s="109"/>
      <c r="C197" s="109"/>
      <c r="D197" s="110"/>
      <c r="E197" s="111"/>
      <c r="F197" s="109"/>
      <c r="G197" s="109"/>
      <c r="H197" s="57" t="s">
        <v>308</v>
      </c>
      <c r="I197" s="112"/>
      <c r="J197" s="112"/>
      <c r="K197" s="57"/>
      <c r="L197" s="113"/>
      <c r="M197" s="114">
        <v>1483.9959716796875</v>
      </c>
      <c r="N197" s="114">
        <v>2168.326416015625</v>
      </c>
      <c r="O197" s="115" t="s">
        <v>782</v>
      </c>
      <c r="P197" s="116"/>
      <c r="Q197" s="116"/>
      <c r="R197" s="147">
        <v>1</v>
      </c>
      <c r="S197" s="106"/>
      <c r="T197" s="106"/>
      <c r="U197" s="148">
        <v>0</v>
      </c>
      <c r="V197" s="148">
        <v>1.0460000000000001E-3</v>
      </c>
      <c r="W197" s="148">
        <v>2.3349999999999998E-3</v>
      </c>
      <c r="X197" s="148">
        <v>0.40768399999999999</v>
      </c>
      <c r="Y197" s="148">
        <v>0</v>
      </c>
      <c r="Z197" s="107"/>
      <c r="AA197" s="117">
        <v>197</v>
      </c>
      <c r="AB19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7" s="118"/>
      <c r="AD197" s="145" t="str">
        <f>REPLACE(INDEX(GroupVertices[Group], MATCH(Vertices[[#This Row],[Vertex]],GroupVertices[Vertex],0)),1,1,"")</f>
        <v>4</v>
      </c>
      <c r="AE197" s="2"/>
      <c r="AI197" s="3"/>
    </row>
    <row r="198" spans="1:35" x14ac:dyDescent="0.3">
      <c r="A198" s="108" t="s">
        <v>239</v>
      </c>
      <c r="B198" s="109"/>
      <c r="C198" s="109"/>
      <c r="D198" s="110"/>
      <c r="E198" s="111"/>
      <c r="F198" s="109"/>
      <c r="G198" s="109"/>
      <c r="H198" s="57" t="s">
        <v>727</v>
      </c>
      <c r="I198" s="112"/>
      <c r="J198" s="112"/>
      <c r="K198" s="57"/>
      <c r="L198" s="113"/>
      <c r="M198" s="114">
        <v>2634.280517578125</v>
      </c>
      <c r="N198" s="114">
        <v>1953.8353271484375</v>
      </c>
      <c r="O198" s="115" t="s">
        <v>782</v>
      </c>
      <c r="P198" s="116"/>
      <c r="Q198" s="116"/>
      <c r="R198" s="147">
        <v>2</v>
      </c>
      <c r="S198" s="106"/>
      <c r="T198" s="106"/>
      <c r="U198" s="148">
        <v>211</v>
      </c>
      <c r="V198" s="148">
        <v>1.2049999999999999E-3</v>
      </c>
      <c r="W198" s="148">
        <v>3.0339999999999998E-3</v>
      </c>
      <c r="X198" s="148">
        <v>0.87556100000000003</v>
      </c>
      <c r="Y198" s="148">
        <v>0</v>
      </c>
      <c r="Z198" s="107"/>
      <c r="AA198" s="117">
        <v>198</v>
      </c>
      <c r="AB19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8" s="118"/>
      <c r="AD198" s="145" t="str">
        <f>REPLACE(INDEX(GroupVertices[Group], MATCH(Vertices[[#This Row],[Vertex]],GroupVertices[Vertex],0)),1,1,"")</f>
        <v>8</v>
      </c>
      <c r="AE198" s="2"/>
      <c r="AI198" s="3"/>
    </row>
    <row r="199" spans="1:35" x14ac:dyDescent="0.3">
      <c r="A199" s="108" t="s">
        <v>291</v>
      </c>
      <c r="B199" s="109"/>
      <c r="C199" s="109"/>
      <c r="D199" s="110"/>
      <c r="E199" s="111"/>
      <c r="F199" s="109"/>
      <c r="G199" s="109"/>
      <c r="H199" s="57" t="s">
        <v>291</v>
      </c>
      <c r="I199" s="112"/>
      <c r="J199" s="112"/>
      <c r="K199" s="57"/>
      <c r="L199" s="113"/>
      <c r="M199" s="114">
        <v>4194.73095703125</v>
      </c>
      <c r="N199" s="114">
        <v>1999.08984375</v>
      </c>
      <c r="O199" s="115" t="s">
        <v>782</v>
      </c>
      <c r="P199" s="116"/>
      <c r="Q199" s="116"/>
      <c r="R199" s="147">
        <v>5</v>
      </c>
      <c r="S199" s="106"/>
      <c r="T199" s="106"/>
      <c r="U199" s="148">
        <v>1014.2204379999999</v>
      </c>
      <c r="V199" s="148">
        <v>1.2290000000000001E-3</v>
      </c>
      <c r="W199" s="148">
        <v>7.0400000000000003E-3</v>
      </c>
      <c r="X199" s="148">
        <v>1.5910059999999999</v>
      </c>
      <c r="Y199" s="148">
        <v>0</v>
      </c>
      <c r="Z199" s="107"/>
      <c r="AA199" s="117">
        <v>199</v>
      </c>
      <c r="AB19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199" s="118"/>
      <c r="AD199" s="145" t="str">
        <f>REPLACE(INDEX(GroupVertices[Group], MATCH(Vertices[[#This Row],[Vertex]],GroupVertices[Vertex],0)),1,1,"")</f>
        <v>3</v>
      </c>
      <c r="AE199" s="2"/>
      <c r="AI199" s="3"/>
    </row>
    <row r="200" spans="1:35" x14ac:dyDescent="0.3">
      <c r="A200" s="108" t="s">
        <v>268</v>
      </c>
      <c r="B200" s="109"/>
      <c r="C200" s="109"/>
      <c r="D200" s="110"/>
      <c r="E200" s="111"/>
      <c r="F200" s="109"/>
      <c r="G200" s="109"/>
      <c r="H200" s="57" t="s">
        <v>268</v>
      </c>
      <c r="I200" s="112"/>
      <c r="J200" s="112"/>
      <c r="K200" s="57"/>
      <c r="L200" s="113"/>
      <c r="M200" s="114">
        <v>5384.666015625</v>
      </c>
      <c r="N200" s="114">
        <v>3309.461669921875</v>
      </c>
      <c r="O200" s="115" t="s">
        <v>782</v>
      </c>
      <c r="P200" s="116"/>
      <c r="Q200" s="116"/>
      <c r="R200" s="147">
        <v>1</v>
      </c>
      <c r="S200" s="106"/>
      <c r="T200" s="106"/>
      <c r="U200" s="148">
        <v>0</v>
      </c>
      <c r="V200" s="148">
        <v>1.1349999999999999E-3</v>
      </c>
      <c r="W200" s="148">
        <v>2.4940000000000001E-3</v>
      </c>
      <c r="X200" s="148">
        <v>0.399507</v>
      </c>
      <c r="Y200" s="148">
        <v>0</v>
      </c>
      <c r="Z200" s="107"/>
      <c r="AA200" s="117">
        <v>200</v>
      </c>
      <c r="AB20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0" s="118"/>
      <c r="AD200" s="145" t="str">
        <f>REPLACE(INDEX(GroupVertices[Group], MATCH(Vertices[[#This Row],[Vertex]],GroupVertices[Vertex],0)),1,1,"")</f>
        <v>5</v>
      </c>
      <c r="AE200" s="2"/>
      <c r="AI200" s="3"/>
    </row>
    <row r="201" spans="1:35" x14ac:dyDescent="0.3">
      <c r="A201" s="108" t="s">
        <v>315</v>
      </c>
      <c r="B201" s="109"/>
      <c r="C201" s="109"/>
      <c r="D201" s="110"/>
      <c r="E201" s="111"/>
      <c r="F201" s="109"/>
      <c r="G201" s="109"/>
      <c r="H201" s="57" t="s">
        <v>315</v>
      </c>
      <c r="I201" s="112"/>
      <c r="J201" s="112"/>
      <c r="K201" s="57"/>
      <c r="L201" s="113"/>
      <c r="M201" s="114">
        <v>3881.69677734375</v>
      </c>
      <c r="N201" s="114">
        <v>2432.212646484375</v>
      </c>
      <c r="O201" s="115" t="s">
        <v>782</v>
      </c>
      <c r="P201" s="116"/>
      <c r="Q201" s="116"/>
      <c r="R201" s="147">
        <v>2</v>
      </c>
      <c r="S201" s="106"/>
      <c r="T201" s="106"/>
      <c r="U201" s="148">
        <v>8.1141769999999998</v>
      </c>
      <c r="V201" s="148">
        <v>1.1950000000000001E-3</v>
      </c>
      <c r="W201" s="148">
        <v>8.1169999999999992E-3</v>
      </c>
      <c r="X201" s="148">
        <v>0.60565800000000003</v>
      </c>
      <c r="Y201" s="148">
        <v>0</v>
      </c>
      <c r="Z201" s="107"/>
      <c r="AA201" s="117">
        <v>201</v>
      </c>
      <c r="AB20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1" s="118"/>
      <c r="AD201" s="145" t="str">
        <f>REPLACE(INDEX(GroupVertices[Group], MATCH(Vertices[[#This Row],[Vertex]],GroupVertices[Vertex],0)),1,1,"")</f>
        <v>4</v>
      </c>
      <c r="AE201" s="2"/>
      <c r="AI201" s="3"/>
    </row>
    <row r="202" spans="1:35" x14ac:dyDescent="0.3">
      <c r="A202" s="108" t="s">
        <v>389</v>
      </c>
      <c r="B202" s="109"/>
      <c r="C202" s="109"/>
      <c r="D202" s="110"/>
      <c r="E202" s="111"/>
      <c r="F202" s="109"/>
      <c r="G202" s="109"/>
      <c r="H202" s="57" t="s">
        <v>728</v>
      </c>
      <c r="I202" s="112"/>
      <c r="J202" s="112"/>
      <c r="K202" s="57"/>
      <c r="L202" s="113"/>
      <c r="M202" s="114">
        <v>4715.947265625</v>
      </c>
      <c r="N202" s="114">
        <v>2380.123779296875</v>
      </c>
      <c r="O202" s="115" t="s">
        <v>782</v>
      </c>
      <c r="P202" s="116"/>
      <c r="Q202" s="116"/>
      <c r="R202" s="147">
        <v>1</v>
      </c>
      <c r="S202" s="106"/>
      <c r="T202" s="106"/>
      <c r="U202" s="148">
        <v>0</v>
      </c>
      <c r="V202" s="148">
        <v>1.1379999999999999E-3</v>
      </c>
      <c r="W202" s="148">
        <v>3.539E-3</v>
      </c>
      <c r="X202" s="148">
        <v>0.37303900000000001</v>
      </c>
      <c r="Y202" s="148">
        <v>0</v>
      </c>
      <c r="Z202" s="107"/>
      <c r="AA202" s="117">
        <v>202</v>
      </c>
      <c r="AB20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2" s="118"/>
      <c r="AD202" s="145" t="str">
        <f>REPLACE(INDEX(GroupVertices[Group], MATCH(Vertices[[#This Row],[Vertex]],GroupVertices[Vertex],0)),1,1,"")</f>
        <v>3</v>
      </c>
      <c r="AE202" s="2"/>
      <c r="AI202" s="3"/>
    </row>
    <row r="203" spans="1:35" x14ac:dyDescent="0.3">
      <c r="A203" s="108" t="s">
        <v>299</v>
      </c>
      <c r="B203" s="109"/>
      <c r="C203" s="109"/>
      <c r="D203" s="110"/>
      <c r="E203" s="111"/>
      <c r="F203" s="109"/>
      <c r="G203" s="109"/>
      <c r="H203" s="57" t="s">
        <v>299</v>
      </c>
      <c r="I203" s="112"/>
      <c r="J203" s="112"/>
      <c r="K203" s="57"/>
      <c r="L203" s="113"/>
      <c r="M203" s="114">
        <v>2735.033447265625</v>
      </c>
      <c r="N203" s="114">
        <v>151.22230529785156</v>
      </c>
      <c r="O203" s="115" t="s">
        <v>782</v>
      </c>
      <c r="P203" s="116"/>
      <c r="Q203" s="116"/>
      <c r="R203" s="147">
        <v>1</v>
      </c>
      <c r="S203" s="106"/>
      <c r="T203" s="106"/>
      <c r="U203" s="148">
        <v>0</v>
      </c>
      <c r="V203" s="148">
        <v>9.1100000000000003E-4</v>
      </c>
      <c r="W203" s="148">
        <v>7.2400000000000003E-4</v>
      </c>
      <c r="X203" s="148">
        <v>0.42309600000000003</v>
      </c>
      <c r="Y203" s="148">
        <v>0</v>
      </c>
      <c r="Z203" s="107"/>
      <c r="AA203" s="117">
        <v>203</v>
      </c>
      <c r="AB20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3" s="118"/>
      <c r="AD203" s="145" t="str">
        <f>REPLACE(INDEX(GroupVertices[Group], MATCH(Vertices[[#This Row],[Vertex]],GroupVertices[Vertex],0)),1,1,"")</f>
        <v>10</v>
      </c>
      <c r="AE203" s="2"/>
      <c r="AI203" s="3"/>
    </row>
    <row r="204" spans="1:35" x14ac:dyDescent="0.3">
      <c r="A204" s="108" t="s">
        <v>232</v>
      </c>
      <c r="B204" s="109"/>
      <c r="C204" s="109"/>
      <c r="D204" s="110"/>
      <c r="E204" s="111"/>
      <c r="F204" s="109"/>
      <c r="G204" s="109"/>
      <c r="H204" s="57" t="s">
        <v>232</v>
      </c>
      <c r="I204" s="112"/>
      <c r="J204" s="112"/>
      <c r="K204" s="57"/>
      <c r="L204" s="113"/>
      <c r="M204" s="114">
        <v>3482.0380859375</v>
      </c>
      <c r="N204" s="114">
        <v>2333.895263671875</v>
      </c>
      <c r="O204" s="115" t="s">
        <v>782</v>
      </c>
      <c r="P204" s="116"/>
      <c r="Q204" s="116"/>
      <c r="R204" s="147">
        <v>3</v>
      </c>
      <c r="S204" s="106"/>
      <c r="T204" s="106"/>
      <c r="U204" s="148">
        <v>270.12003700000002</v>
      </c>
      <c r="V204" s="148">
        <v>1.227E-3</v>
      </c>
      <c r="W204" s="148">
        <v>4.0429999999999997E-3</v>
      </c>
      <c r="X204" s="148">
        <v>0.90824000000000005</v>
      </c>
      <c r="Y204" s="148">
        <v>0</v>
      </c>
      <c r="Z204" s="107"/>
      <c r="AA204" s="117">
        <v>204</v>
      </c>
      <c r="AB20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4" s="118"/>
      <c r="AD204" s="145" t="str">
        <f>REPLACE(INDEX(GroupVertices[Group], MATCH(Vertices[[#This Row],[Vertex]],GroupVertices[Vertex],0)),1,1,"")</f>
        <v>10</v>
      </c>
      <c r="AE204" s="2"/>
      <c r="AI204" s="3"/>
    </row>
    <row r="205" spans="1:35" x14ac:dyDescent="0.3">
      <c r="A205" s="108" t="s">
        <v>296</v>
      </c>
      <c r="B205" s="109"/>
      <c r="C205" s="109"/>
      <c r="D205" s="110"/>
      <c r="E205" s="111"/>
      <c r="F205" s="109"/>
      <c r="G205" s="109"/>
      <c r="H205" s="57" t="s">
        <v>699</v>
      </c>
      <c r="I205" s="112"/>
      <c r="J205" s="112"/>
      <c r="K205" s="57"/>
      <c r="L205" s="113"/>
      <c r="M205" s="114">
        <v>3216.78759765625</v>
      </c>
      <c r="N205" s="114">
        <v>1170.2333984375</v>
      </c>
      <c r="O205" s="115" t="s">
        <v>782</v>
      </c>
      <c r="P205" s="116"/>
      <c r="Q205" s="116"/>
      <c r="R205" s="147">
        <v>6</v>
      </c>
      <c r="S205" s="106"/>
      <c r="T205" s="106"/>
      <c r="U205" s="148">
        <v>523.66973900000005</v>
      </c>
      <c r="V205" s="148">
        <v>1.127E-3</v>
      </c>
      <c r="W205" s="148">
        <v>4.5170000000000002E-3</v>
      </c>
      <c r="X205" s="148">
        <v>1.9277359999999999</v>
      </c>
      <c r="Y205" s="148">
        <v>6.6666666666666666E-2</v>
      </c>
      <c r="Z205" s="107"/>
      <c r="AA205" s="117">
        <v>205</v>
      </c>
      <c r="AB20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5" s="118"/>
      <c r="AD205" s="145" t="str">
        <f>REPLACE(INDEX(GroupVertices[Group], MATCH(Vertices[[#This Row],[Vertex]],GroupVertices[Vertex],0)),1,1,"")</f>
        <v>10</v>
      </c>
      <c r="AE205" s="2"/>
      <c r="AI205" s="3"/>
    </row>
    <row r="206" spans="1:35" x14ac:dyDescent="0.3">
      <c r="A206" s="108" t="s">
        <v>338</v>
      </c>
      <c r="B206" s="109"/>
      <c r="C206" s="109"/>
      <c r="D206" s="110"/>
      <c r="E206" s="111"/>
      <c r="F206" s="109"/>
      <c r="G206" s="109"/>
      <c r="H206" s="57" t="s">
        <v>338</v>
      </c>
      <c r="I206" s="112"/>
      <c r="J206" s="112"/>
      <c r="K206" s="57"/>
      <c r="L206" s="113"/>
      <c r="M206" s="114">
        <v>5343.54296875</v>
      </c>
      <c r="N206" s="114">
        <v>2275.61279296875</v>
      </c>
      <c r="O206" s="115" t="s">
        <v>782</v>
      </c>
      <c r="P206" s="116"/>
      <c r="Q206" s="116"/>
      <c r="R206" s="147">
        <v>1</v>
      </c>
      <c r="S206" s="106"/>
      <c r="T206" s="106"/>
      <c r="U206" s="148">
        <v>0</v>
      </c>
      <c r="V206" s="148">
        <v>1.0579999999999999E-3</v>
      </c>
      <c r="W206" s="148">
        <v>1.292E-3</v>
      </c>
      <c r="X206" s="148">
        <v>0.46053899999999998</v>
      </c>
      <c r="Y206" s="148">
        <v>0</v>
      </c>
      <c r="Z206" s="107"/>
      <c r="AA206" s="117">
        <v>206</v>
      </c>
      <c r="AB20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6" s="118"/>
      <c r="AD206" s="145" t="str">
        <f>REPLACE(INDEX(GroupVertices[Group], MATCH(Vertices[[#This Row],[Vertex]],GroupVertices[Vertex],0)),1,1,"")</f>
        <v>11</v>
      </c>
      <c r="AE206" s="2"/>
      <c r="AI206" s="3"/>
    </row>
    <row r="207" spans="1:35" x14ac:dyDescent="0.3">
      <c r="A207" s="108" t="s">
        <v>320</v>
      </c>
      <c r="B207" s="109"/>
      <c r="C207" s="109"/>
      <c r="D207" s="110"/>
      <c r="E207" s="111"/>
      <c r="F207" s="109"/>
      <c r="G207" s="109"/>
      <c r="H207" s="57" t="s">
        <v>320</v>
      </c>
      <c r="I207" s="112"/>
      <c r="J207" s="112"/>
      <c r="K207" s="57"/>
      <c r="L207" s="113"/>
      <c r="M207" s="114">
        <v>3696.984130859375</v>
      </c>
      <c r="N207" s="114">
        <v>2404.40478515625</v>
      </c>
      <c r="O207" s="115" t="s">
        <v>782</v>
      </c>
      <c r="P207" s="116"/>
      <c r="Q207" s="116"/>
      <c r="R207" s="147">
        <v>2</v>
      </c>
      <c r="S207" s="106"/>
      <c r="T207" s="106"/>
      <c r="U207" s="148">
        <v>8.1141769999999998</v>
      </c>
      <c r="V207" s="148">
        <v>1.1950000000000001E-3</v>
      </c>
      <c r="W207" s="148">
        <v>8.1169999999999992E-3</v>
      </c>
      <c r="X207" s="148">
        <v>0.60565800000000003</v>
      </c>
      <c r="Y207" s="148">
        <v>0</v>
      </c>
      <c r="Z207" s="107"/>
      <c r="AA207" s="117">
        <v>207</v>
      </c>
      <c r="AB20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7" s="118"/>
      <c r="AD207" s="145" t="str">
        <f>REPLACE(INDEX(GroupVertices[Group], MATCH(Vertices[[#This Row],[Vertex]],GroupVertices[Vertex],0)),1,1,"")</f>
        <v>4</v>
      </c>
      <c r="AE207" s="2"/>
      <c r="AI207" s="3"/>
    </row>
    <row r="208" spans="1:35" x14ac:dyDescent="0.3">
      <c r="A208" s="108" t="s">
        <v>183</v>
      </c>
      <c r="B208" s="109"/>
      <c r="C208" s="109"/>
      <c r="D208" s="110"/>
      <c r="E208" s="111"/>
      <c r="F208" s="109"/>
      <c r="G208" s="109"/>
      <c r="H208" s="57" t="s">
        <v>183</v>
      </c>
      <c r="I208" s="112"/>
      <c r="J208" s="112"/>
      <c r="K208" s="57"/>
      <c r="L208" s="113"/>
      <c r="M208" s="114">
        <v>4648.29638671875</v>
      </c>
      <c r="N208" s="114">
        <v>4929.6806640625</v>
      </c>
      <c r="O208" s="115" t="s">
        <v>782</v>
      </c>
      <c r="P208" s="116"/>
      <c r="Q208" s="116"/>
      <c r="R208" s="147">
        <v>5</v>
      </c>
      <c r="S208" s="106"/>
      <c r="T208" s="106"/>
      <c r="U208" s="148">
        <v>1236.4601259999999</v>
      </c>
      <c r="V208" s="148">
        <v>1.42E-3</v>
      </c>
      <c r="W208" s="148">
        <v>6.136E-3</v>
      </c>
      <c r="X208" s="148">
        <v>1.4665699999999999</v>
      </c>
      <c r="Y208" s="148">
        <v>0.1</v>
      </c>
      <c r="Z208" s="107"/>
      <c r="AA208" s="117">
        <v>208</v>
      </c>
      <c r="AB20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8" s="118"/>
      <c r="AD208" s="145" t="str">
        <f>REPLACE(INDEX(GroupVertices[Group], MATCH(Vertices[[#This Row],[Vertex]],GroupVertices[Vertex],0)),1,1,"")</f>
        <v>5</v>
      </c>
      <c r="AE208" s="2"/>
      <c r="AI208" s="3"/>
    </row>
    <row r="209" spans="1:35" x14ac:dyDescent="0.3">
      <c r="A209" s="108" t="s">
        <v>362</v>
      </c>
      <c r="B209" s="109"/>
      <c r="C209" s="109"/>
      <c r="D209" s="110"/>
      <c r="E209" s="111"/>
      <c r="F209" s="109"/>
      <c r="G209" s="109"/>
      <c r="H209" s="57" t="s">
        <v>362</v>
      </c>
      <c r="I209" s="112"/>
      <c r="J209" s="112"/>
      <c r="K209" s="57"/>
      <c r="L209" s="113"/>
      <c r="M209" s="114">
        <v>2748.50341796875</v>
      </c>
      <c r="N209" s="114">
        <v>5741.109375</v>
      </c>
      <c r="O209" s="115" t="s">
        <v>782</v>
      </c>
      <c r="P209" s="116"/>
      <c r="Q209" s="116"/>
      <c r="R209" s="147">
        <v>1</v>
      </c>
      <c r="S209" s="106"/>
      <c r="T209" s="106"/>
      <c r="U209" s="148">
        <v>0</v>
      </c>
      <c r="V209" s="148">
        <v>1.1150000000000001E-3</v>
      </c>
      <c r="W209" s="148">
        <v>3.522E-3</v>
      </c>
      <c r="X209" s="148">
        <v>0.38897900000000002</v>
      </c>
      <c r="Y209" s="148">
        <v>0</v>
      </c>
      <c r="Z209" s="107"/>
      <c r="AA209" s="117">
        <v>209</v>
      </c>
      <c r="AB20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09" s="118"/>
      <c r="AD209" s="145" t="str">
        <f>REPLACE(INDEX(GroupVertices[Group], MATCH(Vertices[[#This Row],[Vertex]],GroupVertices[Vertex],0)),1,1,"")</f>
        <v>6</v>
      </c>
      <c r="AE209" s="2"/>
      <c r="AI209" s="3"/>
    </row>
    <row r="210" spans="1:35" x14ac:dyDescent="0.3">
      <c r="A210" s="108" t="s">
        <v>203</v>
      </c>
      <c r="B210" s="109"/>
      <c r="C210" s="109"/>
      <c r="D210" s="110"/>
      <c r="E210" s="111"/>
      <c r="F210" s="109"/>
      <c r="G210" s="109"/>
      <c r="H210" s="57" t="s">
        <v>203</v>
      </c>
      <c r="I210" s="112"/>
      <c r="J210" s="112"/>
      <c r="K210" s="57"/>
      <c r="L210" s="113"/>
      <c r="M210" s="114">
        <v>6465.28515625</v>
      </c>
      <c r="N210" s="114">
        <v>7133.64794921875</v>
      </c>
      <c r="O210" s="115" t="s">
        <v>782</v>
      </c>
      <c r="P210" s="116"/>
      <c r="Q210" s="116"/>
      <c r="R210" s="147">
        <v>1</v>
      </c>
      <c r="S210" s="106"/>
      <c r="T210" s="106"/>
      <c r="U210" s="148">
        <v>0</v>
      </c>
      <c r="V210" s="148">
        <v>1.044E-3</v>
      </c>
      <c r="W210" s="148">
        <v>6.6600000000000003E-4</v>
      </c>
      <c r="X210" s="148">
        <v>0.408248</v>
      </c>
      <c r="Y210" s="148">
        <v>0</v>
      </c>
      <c r="Z210" s="107"/>
      <c r="AA210" s="117">
        <v>210</v>
      </c>
      <c r="AB21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0" s="118"/>
      <c r="AD210" s="145" t="str">
        <f>REPLACE(INDEX(GroupVertices[Group], MATCH(Vertices[[#This Row],[Vertex]],GroupVertices[Vertex],0)),1,1,"")</f>
        <v>2</v>
      </c>
      <c r="AE210" s="2"/>
      <c r="AI210" s="3"/>
    </row>
    <row r="211" spans="1:35" x14ac:dyDescent="0.3">
      <c r="A211" s="108" t="s">
        <v>561</v>
      </c>
      <c r="B211" s="109"/>
      <c r="C211" s="109"/>
      <c r="D211" s="110"/>
      <c r="E211" s="111"/>
      <c r="F211" s="109"/>
      <c r="G211" s="109"/>
      <c r="H211" s="57" t="s">
        <v>729</v>
      </c>
      <c r="I211" s="112"/>
      <c r="J211" s="112"/>
      <c r="K211" s="57"/>
      <c r="L211" s="113"/>
      <c r="M211" s="114">
        <v>712.802734375</v>
      </c>
      <c r="N211" s="114">
        <v>7941.69970703125</v>
      </c>
      <c r="O211" s="115" t="s">
        <v>782</v>
      </c>
      <c r="P211" s="116"/>
      <c r="Q211" s="116"/>
      <c r="R211" s="147"/>
      <c r="S211" s="106"/>
      <c r="T211" s="106"/>
      <c r="U211" s="148"/>
      <c r="V211" s="148"/>
      <c r="W211" s="148"/>
      <c r="X211" s="148"/>
      <c r="Y211" s="148"/>
      <c r="Z211" s="107"/>
      <c r="AA211" s="117">
        <v>211</v>
      </c>
      <c r="AB21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1" s="118"/>
      <c r="AD211" s="145" t="str">
        <f>REPLACE(INDEX(GroupVertices[Group], MATCH(Vertices[[#This Row],[Vertex]],GroupVertices[Vertex],0)),1,1,"")</f>
        <v>12</v>
      </c>
      <c r="AE211" s="2"/>
      <c r="AI211" s="3"/>
    </row>
    <row r="212" spans="1:35" x14ac:dyDescent="0.3">
      <c r="A212" s="108" t="s">
        <v>229</v>
      </c>
      <c r="B212" s="109"/>
      <c r="C212" s="109"/>
      <c r="D212" s="110"/>
      <c r="E212" s="111"/>
      <c r="F212" s="109"/>
      <c r="G212" s="109"/>
      <c r="H212" s="57" t="s">
        <v>229</v>
      </c>
      <c r="I212" s="112"/>
      <c r="J212" s="112"/>
      <c r="K212" s="57"/>
      <c r="L212" s="113"/>
      <c r="M212" s="114">
        <v>6900.9208984375</v>
      </c>
      <c r="N212" s="114">
        <v>7300.5751953125</v>
      </c>
      <c r="O212" s="115" t="s">
        <v>782</v>
      </c>
      <c r="P212" s="116"/>
      <c r="Q212" s="116"/>
      <c r="R212" s="147">
        <v>2</v>
      </c>
      <c r="S212" s="106"/>
      <c r="T212" s="106"/>
      <c r="U212" s="148">
        <v>211</v>
      </c>
      <c r="V212" s="148">
        <v>1.0460000000000001E-3</v>
      </c>
      <c r="W212" s="148">
        <v>6.8400000000000004E-4</v>
      </c>
      <c r="X212" s="148">
        <v>0.83874400000000005</v>
      </c>
      <c r="Y212" s="148">
        <v>0</v>
      </c>
      <c r="Z212" s="107"/>
      <c r="AA212" s="117">
        <v>212</v>
      </c>
      <c r="AB21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2" s="118"/>
      <c r="AD212" s="145" t="str">
        <f>REPLACE(INDEX(GroupVertices[Group], MATCH(Vertices[[#This Row],[Vertex]],GroupVertices[Vertex],0)),1,1,"")</f>
        <v>2</v>
      </c>
      <c r="AE212" s="2"/>
      <c r="AI212" s="3"/>
    </row>
    <row r="213" spans="1:35" x14ac:dyDescent="0.3">
      <c r="A213" s="108" t="s">
        <v>198</v>
      </c>
      <c r="B213" s="109"/>
      <c r="C213" s="109"/>
      <c r="D213" s="110"/>
      <c r="E213" s="111"/>
      <c r="F213" s="109"/>
      <c r="G213" s="109"/>
      <c r="H213" s="57" t="s">
        <v>198</v>
      </c>
      <c r="I213" s="112"/>
      <c r="J213" s="112"/>
      <c r="K213" s="57"/>
      <c r="L213" s="113"/>
      <c r="M213" s="114">
        <v>4092.328857421875</v>
      </c>
      <c r="N213" s="114">
        <v>7127.5634765625</v>
      </c>
      <c r="O213" s="115" t="s">
        <v>782</v>
      </c>
      <c r="P213" s="116"/>
      <c r="Q213" s="116"/>
      <c r="R213" s="147">
        <v>2</v>
      </c>
      <c r="S213" s="106"/>
      <c r="T213" s="106"/>
      <c r="U213" s="148">
        <v>750.58515899999998</v>
      </c>
      <c r="V213" s="148">
        <v>1.189E-3</v>
      </c>
      <c r="W213" s="148">
        <v>3.6830000000000001E-3</v>
      </c>
      <c r="X213" s="148">
        <v>0.73832100000000001</v>
      </c>
      <c r="Y213" s="148">
        <v>0</v>
      </c>
      <c r="Z213" s="107"/>
      <c r="AA213" s="117">
        <v>213</v>
      </c>
      <c r="AB21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3" s="118"/>
      <c r="AD213" s="145" t="str">
        <f>REPLACE(INDEX(GroupVertices[Group], MATCH(Vertices[[#This Row],[Vertex]],GroupVertices[Vertex],0)),1,1,"")</f>
        <v>7</v>
      </c>
      <c r="AE213" s="2"/>
      <c r="AI213" s="3"/>
    </row>
    <row r="214" spans="1:35" x14ac:dyDescent="0.3">
      <c r="A214" s="108" t="s">
        <v>395</v>
      </c>
      <c r="B214" s="109"/>
      <c r="C214" s="109"/>
      <c r="D214" s="110"/>
      <c r="E214" s="111"/>
      <c r="F214" s="109"/>
      <c r="G214" s="109"/>
      <c r="H214" s="57" t="s">
        <v>730</v>
      </c>
      <c r="I214" s="112"/>
      <c r="J214" s="112"/>
      <c r="K214" s="57"/>
      <c r="L214" s="113"/>
      <c r="M214" s="114">
        <v>2469.713134765625</v>
      </c>
      <c r="N214" s="114">
        <v>1222.480224609375</v>
      </c>
      <c r="O214" s="115" t="s">
        <v>782</v>
      </c>
      <c r="P214" s="116"/>
      <c r="Q214" s="116"/>
      <c r="R214" s="147">
        <v>1</v>
      </c>
      <c r="S214" s="106"/>
      <c r="T214" s="106"/>
      <c r="U214" s="148">
        <v>0</v>
      </c>
      <c r="V214" s="148">
        <v>1.018E-3</v>
      </c>
      <c r="W214" s="148">
        <v>2.0609999999999999E-3</v>
      </c>
      <c r="X214" s="148">
        <v>0.39621200000000001</v>
      </c>
      <c r="Y214" s="148">
        <v>0</v>
      </c>
      <c r="Z214" s="107"/>
      <c r="AA214" s="117">
        <v>214</v>
      </c>
      <c r="AB21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4" s="118"/>
      <c r="AD214" s="145" t="str">
        <f>REPLACE(INDEX(GroupVertices[Group], MATCH(Vertices[[#This Row],[Vertex]],GroupVertices[Vertex],0)),1,1,"")</f>
        <v>10</v>
      </c>
      <c r="AE214" s="2"/>
      <c r="AI214" s="3"/>
    </row>
    <row r="215" spans="1:35" x14ac:dyDescent="0.3">
      <c r="A215" s="108" t="s">
        <v>363</v>
      </c>
      <c r="B215" s="109"/>
      <c r="C215" s="109"/>
      <c r="D215" s="110"/>
      <c r="E215" s="111"/>
      <c r="F215" s="109"/>
      <c r="G215" s="109"/>
      <c r="H215" s="57" t="s">
        <v>731</v>
      </c>
      <c r="I215" s="112"/>
      <c r="J215" s="112"/>
      <c r="K215" s="57"/>
      <c r="L215" s="113"/>
      <c r="M215" s="114">
        <v>2791.69580078125</v>
      </c>
      <c r="N215" s="114">
        <v>4754.76416015625</v>
      </c>
      <c r="O215" s="115" t="s">
        <v>782</v>
      </c>
      <c r="P215" s="116"/>
      <c r="Q215" s="116"/>
      <c r="R215" s="147">
        <v>2</v>
      </c>
      <c r="S215" s="106"/>
      <c r="T215" s="106"/>
      <c r="U215" s="148">
        <v>108.478979</v>
      </c>
      <c r="V215" s="148">
        <v>1.2589999999999999E-3</v>
      </c>
      <c r="W215" s="148">
        <v>5.6849999999999999E-3</v>
      </c>
      <c r="X215" s="148">
        <v>0.62502199999999997</v>
      </c>
      <c r="Y215" s="148">
        <v>0</v>
      </c>
      <c r="Z215" s="107"/>
      <c r="AA215" s="117">
        <v>215</v>
      </c>
      <c r="AB21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5" s="118"/>
      <c r="AD215" s="145" t="str">
        <f>REPLACE(INDEX(GroupVertices[Group], MATCH(Vertices[[#This Row],[Vertex]],GroupVertices[Vertex],0)),1,1,"")</f>
        <v>6</v>
      </c>
      <c r="AE215" s="2"/>
      <c r="AI215" s="3"/>
    </row>
    <row r="216" spans="1:35" x14ac:dyDescent="0.3">
      <c r="A216" s="108" t="s">
        <v>364</v>
      </c>
      <c r="B216" s="109"/>
      <c r="C216" s="109"/>
      <c r="D216" s="110"/>
      <c r="E216" s="111"/>
      <c r="F216" s="109"/>
      <c r="G216" s="109"/>
      <c r="H216" s="57" t="s">
        <v>364</v>
      </c>
      <c r="I216" s="112"/>
      <c r="J216" s="112"/>
      <c r="K216" s="57"/>
      <c r="L216" s="113"/>
      <c r="M216" s="114">
        <v>4744.89404296875</v>
      </c>
      <c r="N216" s="114">
        <v>5147.14208984375</v>
      </c>
      <c r="O216" s="115" t="s">
        <v>782</v>
      </c>
      <c r="P216" s="116"/>
      <c r="Q216" s="116"/>
      <c r="R216" s="147">
        <v>2</v>
      </c>
      <c r="S216" s="106"/>
      <c r="T216" s="106"/>
      <c r="U216" s="148">
        <v>28.161935</v>
      </c>
      <c r="V216" s="148">
        <v>1.1479999999999999E-3</v>
      </c>
      <c r="W216" s="148">
        <v>4.6080000000000001E-3</v>
      </c>
      <c r="X216" s="148">
        <v>0.61528799999999995</v>
      </c>
      <c r="Y216" s="148">
        <v>0</v>
      </c>
      <c r="Z216" s="107"/>
      <c r="AA216" s="117">
        <v>216</v>
      </c>
      <c r="AB21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6" s="118"/>
      <c r="AD216" s="145" t="str">
        <f>REPLACE(INDEX(GroupVertices[Group], MATCH(Vertices[[#This Row],[Vertex]],GroupVertices[Vertex],0)),1,1,"")</f>
        <v>6</v>
      </c>
      <c r="AE216" s="2"/>
      <c r="AI216" s="3"/>
    </row>
    <row r="217" spans="1:35" x14ac:dyDescent="0.3">
      <c r="A217" s="108" t="s">
        <v>396</v>
      </c>
      <c r="B217" s="109"/>
      <c r="C217" s="109"/>
      <c r="D217" s="110"/>
      <c r="E217" s="111"/>
      <c r="F217" s="109"/>
      <c r="G217" s="109"/>
      <c r="H217" s="57" t="s">
        <v>732</v>
      </c>
      <c r="I217" s="112"/>
      <c r="J217" s="112"/>
      <c r="K217" s="57"/>
      <c r="L217" s="113"/>
      <c r="M217" s="114">
        <v>4927.07080078125</v>
      </c>
      <c r="N217" s="114">
        <v>2489.13427734375</v>
      </c>
      <c r="O217" s="115" t="s">
        <v>782</v>
      </c>
      <c r="P217" s="116"/>
      <c r="Q217" s="116"/>
      <c r="R217" s="147">
        <v>1</v>
      </c>
      <c r="S217" s="106"/>
      <c r="T217" s="106"/>
      <c r="U217" s="148">
        <v>0</v>
      </c>
      <c r="V217" s="148">
        <v>1.1379999999999999E-3</v>
      </c>
      <c r="W217" s="148">
        <v>3.539E-3</v>
      </c>
      <c r="X217" s="148">
        <v>0.37303900000000001</v>
      </c>
      <c r="Y217" s="148">
        <v>0</v>
      </c>
      <c r="Z217" s="107"/>
      <c r="AA217" s="117">
        <v>217</v>
      </c>
      <c r="AB21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7" s="118"/>
      <c r="AD217" s="145" t="str">
        <f>REPLACE(INDEX(GroupVertices[Group], MATCH(Vertices[[#This Row],[Vertex]],GroupVertices[Vertex],0)),1,1,"")</f>
        <v>10</v>
      </c>
      <c r="AE217" s="2"/>
      <c r="AI217" s="3"/>
    </row>
    <row r="218" spans="1:35" x14ac:dyDescent="0.3">
      <c r="A218" s="108" t="s">
        <v>314</v>
      </c>
      <c r="B218" s="109"/>
      <c r="C218" s="109"/>
      <c r="D218" s="110"/>
      <c r="E218" s="111"/>
      <c r="F218" s="109"/>
      <c r="G218" s="109"/>
      <c r="H218" s="57" t="s">
        <v>733</v>
      </c>
      <c r="I218" s="112"/>
      <c r="J218" s="112"/>
      <c r="K218" s="57"/>
      <c r="L218" s="113"/>
      <c r="M218" s="114">
        <v>4659.01513671875</v>
      </c>
      <c r="N218" s="114">
        <v>3523.891845703125</v>
      </c>
      <c r="O218" s="115" t="s">
        <v>782</v>
      </c>
      <c r="P218" s="116"/>
      <c r="Q218" s="116"/>
      <c r="R218" s="147">
        <v>3</v>
      </c>
      <c r="S218" s="106"/>
      <c r="T218" s="106"/>
      <c r="U218" s="148">
        <v>135.52912599999999</v>
      </c>
      <c r="V218" s="148">
        <v>1.2409999999999999E-3</v>
      </c>
      <c r="W218" s="148">
        <v>9.2029999999999994E-3</v>
      </c>
      <c r="X218" s="148">
        <v>0.83196599999999998</v>
      </c>
      <c r="Y218" s="148">
        <v>0</v>
      </c>
      <c r="Z218" s="107"/>
      <c r="AA218" s="117">
        <v>218</v>
      </c>
      <c r="AB21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8" s="118"/>
      <c r="AD218" s="145" t="str">
        <f>REPLACE(INDEX(GroupVertices[Group], MATCH(Vertices[[#This Row],[Vertex]],GroupVertices[Vertex],0)),1,1,"")</f>
        <v>4</v>
      </c>
      <c r="AE218" s="2"/>
      <c r="AI218" s="3"/>
    </row>
    <row r="219" spans="1:35" x14ac:dyDescent="0.3">
      <c r="A219" s="108" t="s">
        <v>370</v>
      </c>
      <c r="B219" s="109"/>
      <c r="C219" s="109"/>
      <c r="D219" s="110"/>
      <c r="E219" s="111"/>
      <c r="F219" s="109"/>
      <c r="G219" s="109"/>
      <c r="H219" s="57" t="s">
        <v>370</v>
      </c>
      <c r="I219" s="112"/>
      <c r="J219" s="112"/>
      <c r="K219" s="57"/>
      <c r="L219" s="113"/>
      <c r="M219" s="114">
        <v>1999.3133544921875</v>
      </c>
      <c r="N219" s="114">
        <v>5212.9443359375</v>
      </c>
      <c r="O219" s="115" t="s">
        <v>782</v>
      </c>
      <c r="P219" s="116"/>
      <c r="Q219" s="116"/>
      <c r="R219" s="147">
        <v>1</v>
      </c>
      <c r="S219" s="106"/>
      <c r="T219" s="106"/>
      <c r="U219" s="148">
        <v>0</v>
      </c>
      <c r="V219" s="148">
        <v>1.003E-3</v>
      </c>
      <c r="W219" s="148">
        <v>7.2599999999999997E-4</v>
      </c>
      <c r="X219" s="148">
        <v>0.423842</v>
      </c>
      <c r="Y219" s="148">
        <v>0</v>
      </c>
      <c r="Z219" s="107"/>
      <c r="AA219" s="117">
        <v>219</v>
      </c>
      <c r="AB21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19" s="118"/>
      <c r="AD219" s="145" t="str">
        <f>REPLACE(INDEX(GroupVertices[Group], MATCH(Vertices[[#This Row],[Vertex]],GroupVertices[Vertex],0)),1,1,"")</f>
        <v>2</v>
      </c>
      <c r="AE219" s="2"/>
      <c r="AI219" s="3"/>
    </row>
    <row r="220" spans="1:35" x14ac:dyDescent="0.3">
      <c r="A220" s="108" t="s">
        <v>217</v>
      </c>
      <c r="B220" s="109"/>
      <c r="C220" s="109"/>
      <c r="D220" s="110"/>
      <c r="E220" s="111"/>
      <c r="F220" s="109"/>
      <c r="G220" s="109"/>
      <c r="H220" s="57" t="s">
        <v>217</v>
      </c>
      <c r="I220" s="112"/>
      <c r="J220" s="112"/>
      <c r="K220" s="57"/>
      <c r="L220" s="113"/>
      <c r="M220" s="114">
        <v>4496.1875</v>
      </c>
      <c r="N220" s="114">
        <v>6487.42431640625</v>
      </c>
      <c r="O220" s="115" t="s">
        <v>782</v>
      </c>
      <c r="P220" s="116"/>
      <c r="Q220" s="116"/>
      <c r="R220" s="147">
        <v>2</v>
      </c>
      <c r="S220" s="106"/>
      <c r="T220" s="106"/>
      <c r="U220" s="148">
        <v>167.275914</v>
      </c>
      <c r="V220" s="148">
        <v>1.1640000000000001E-3</v>
      </c>
      <c r="W220" s="148">
        <v>1.9949999999999998E-3</v>
      </c>
      <c r="X220" s="148">
        <v>0.68155399999999999</v>
      </c>
      <c r="Y220" s="148">
        <v>0</v>
      </c>
      <c r="Z220" s="107"/>
      <c r="AA220" s="117">
        <v>220</v>
      </c>
      <c r="AB22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0" s="118"/>
      <c r="AD220" s="145" t="str">
        <f>REPLACE(INDEX(GroupVertices[Group], MATCH(Vertices[[#This Row],[Vertex]],GroupVertices[Vertex],0)),1,1,"")</f>
        <v>1</v>
      </c>
      <c r="AE220" s="2"/>
      <c r="AI220" s="3"/>
    </row>
    <row r="221" spans="1:35" x14ac:dyDescent="0.3">
      <c r="A221" s="108" t="s">
        <v>204</v>
      </c>
      <c r="B221" s="109"/>
      <c r="C221" s="109"/>
      <c r="D221" s="110"/>
      <c r="E221" s="111"/>
      <c r="F221" s="109"/>
      <c r="G221" s="109"/>
      <c r="H221" s="57" t="s">
        <v>204</v>
      </c>
      <c r="I221" s="112"/>
      <c r="J221" s="112"/>
      <c r="K221" s="57"/>
      <c r="L221" s="113"/>
      <c r="M221" s="114">
        <v>4596.5048828125</v>
      </c>
      <c r="N221" s="114">
        <v>4971.88623046875</v>
      </c>
      <c r="O221" s="115" t="s">
        <v>782</v>
      </c>
      <c r="P221" s="116"/>
      <c r="Q221" s="116"/>
      <c r="R221" s="147">
        <v>4</v>
      </c>
      <c r="S221" s="106"/>
      <c r="T221" s="106"/>
      <c r="U221" s="148">
        <v>599.12253899999996</v>
      </c>
      <c r="V221" s="148">
        <v>1.307E-3</v>
      </c>
      <c r="W221" s="148">
        <v>6.1980000000000004E-3</v>
      </c>
      <c r="X221" s="148">
        <v>1.1542479999999999</v>
      </c>
      <c r="Y221" s="148">
        <v>0</v>
      </c>
      <c r="Z221" s="107"/>
      <c r="AA221" s="117">
        <v>221</v>
      </c>
      <c r="AB22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1" s="118"/>
      <c r="AD221" s="145" t="str">
        <f>REPLACE(INDEX(GroupVertices[Group], MATCH(Vertices[[#This Row],[Vertex]],GroupVertices[Vertex],0)),1,1,"")</f>
        <v>7</v>
      </c>
      <c r="AE221" s="2"/>
      <c r="AI221" s="3"/>
    </row>
    <row r="222" spans="1:35" x14ac:dyDescent="0.3">
      <c r="A222" s="108" t="s">
        <v>343</v>
      </c>
      <c r="B222" s="109"/>
      <c r="C222" s="109"/>
      <c r="D222" s="110"/>
      <c r="E222" s="111"/>
      <c r="F222" s="109"/>
      <c r="G222" s="109"/>
      <c r="H222" s="57" t="s">
        <v>343</v>
      </c>
      <c r="I222" s="112"/>
      <c r="J222" s="112"/>
      <c r="K222" s="57"/>
      <c r="L222" s="113"/>
      <c r="M222" s="114">
        <v>3427.471923828125</v>
      </c>
      <c r="N222" s="114">
        <v>6758.064453125</v>
      </c>
      <c r="O222" s="115" t="s">
        <v>782</v>
      </c>
      <c r="P222" s="116"/>
      <c r="Q222" s="116"/>
      <c r="R222" s="147">
        <v>1</v>
      </c>
      <c r="S222" s="106"/>
      <c r="T222" s="106"/>
      <c r="U222" s="148">
        <v>0</v>
      </c>
      <c r="V222" s="148">
        <v>1.057E-3</v>
      </c>
      <c r="W222" s="148">
        <v>1.3290000000000001E-3</v>
      </c>
      <c r="X222" s="148">
        <v>0.42330699999999999</v>
      </c>
      <c r="Y222" s="148">
        <v>0</v>
      </c>
      <c r="Z222" s="107"/>
      <c r="AA222" s="117">
        <v>222</v>
      </c>
      <c r="AB22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2" s="118"/>
      <c r="AD222" s="145" t="str">
        <f>REPLACE(INDEX(GroupVertices[Group], MATCH(Vertices[[#This Row],[Vertex]],GroupVertices[Vertex],0)),1,1,"")</f>
        <v>1</v>
      </c>
      <c r="AE222" s="2"/>
      <c r="AI222" s="3"/>
    </row>
    <row r="223" spans="1:35" x14ac:dyDescent="0.3">
      <c r="A223" s="108" t="s">
        <v>189</v>
      </c>
      <c r="B223" s="109"/>
      <c r="C223" s="109"/>
      <c r="D223" s="110"/>
      <c r="E223" s="111"/>
      <c r="F223" s="109"/>
      <c r="G223" s="109"/>
      <c r="H223" s="57" t="s">
        <v>189</v>
      </c>
      <c r="I223" s="112"/>
      <c r="J223" s="112"/>
      <c r="K223" s="57"/>
      <c r="L223" s="113"/>
      <c r="M223" s="114">
        <v>4863.890625</v>
      </c>
      <c r="N223" s="114">
        <v>9772.1533203125</v>
      </c>
      <c r="O223" s="115" t="s">
        <v>782</v>
      </c>
      <c r="P223" s="116"/>
      <c r="Q223" s="116"/>
      <c r="R223" s="147">
        <v>1</v>
      </c>
      <c r="S223" s="106"/>
      <c r="T223" s="106"/>
      <c r="U223" s="148">
        <v>0</v>
      </c>
      <c r="V223" s="148">
        <v>8.7500000000000002E-4</v>
      </c>
      <c r="W223" s="148">
        <v>1.6200000000000001E-4</v>
      </c>
      <c r="X223" s="148">
        <v>0.49934200000000001</v>
      </c>
      <c r="Y223" s="148">
        <v>0</v>
      </c>
      <c r="Z223" s="107"/>
      <c r="AA223" s="117">
        <v>223</v>
      </c>
      <c r="AB22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3" s="118"/>
      <c r="AD223" s="145" t="str">
        <f>REPLACE(INDEX(GroupVertices[Group], MATCH(Vertices[[#This Row],[Vertex]],GroupVertices[Vertex],0)),1,1,"")</f>
        <v>7</v>
      </c>
      <c r="AE223" s="2"/>
      <c r="AI223" s="3"/>
    </row>
    <row r="224" spans="1:35" x14ac:dyDescent="0.3">
      <c r="A224" s="108" t="s">
        <v>566</v>
      </c>
      <c r="B224" s="109"/>
      <c r="C224" s="109"/>
      <c r="D224" s="110"/>
      <c r="E224" s="111"/>
      <c r="F224" s="109"/>
      <c r="G224" s="109"/>
      <c r="H224" s="57" t="s">
        <v>566</v>
      </c>
      <c r="I224" s="112"/>
      <c r="J224" s="112"/>
      <c r="K224" s="57"/>
      <c r="L224" s="113"/>
      <c r="M224" s="114">
        <v>1386.6295166015625</v>
      </c>
      <c r="N224" s="114">
        <v>7131.70361328125</v>
      </c>
      <c r="O224" s="115" t="s">
        <v>782</v>
      </c>
      <c r="P224" s="116"/>
      <c r="Q224" s="116"/>
      <c r="R224" s="147"/>
      <c r="S224" s="106"/>
      <c r="T224" s="106"/>
      <c r="U224" s="148"/>
      <c r="V224" s="148"/>
      <c r="W224" s="148"/>
      <c r="X224" s="148"/>
      <c r="Y224" s="148"/>
      <c r="Z224" s="107"/>
      <c r="AA224" s="117">
        <v>224</v>
      </c>
      <c r="AB22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4" s="118"/>
      <c r="AD224" s="145" t="str">
        <f>REPLACE(INDEX(GroupVertices[Group], MATCH(Vertices[[#This Row],[Vertex]],GroupVertices[Vertex],0)),1,1,"")</f>
        <v>3</v>
      </c>
      <c r="AE224" s="2"/>
      <c r="AI224" s="3"/>
    </row>
    <row r="225" spans="1:35" x14ac:dyDescent="0.3">
      <c r="A225" s="108" t="s">
        <v>593</v>
      </c>
      <c r="B225" s="109"/>
      <c r="C225" s="109"/>
      <c r="D225" s="110"/>
      <c r="E225" s="111"/>
      <c r="F225" s="109"/>
      <c r="G225" s="109"/>
      <c r="H225" s="57" t="s">
        <v>593</v>
      </c>
      <c r="I225" s="112"/>
      <c r="J225" s="112"/>
      <c r="K225" s="57"/>
      <c r="L225" s="113"/>
      <c r="M225" s="114">
        <v>70.295112609863281</v>
      </c>
      <c r="N225" s="114">
        <v>8429.978515625</v>
      </c>
      <c r="O225" s="115" t="s">
        <v>782</v>
      </c>
      <c r="P225" s="116"/>
      <c r="Q225" s="116"/>
      <c r="R225" s="147"/>
      <c r="S225" s="106"/>
      <c r="T225" s="106"/>
      <c r="U225" s="148"/>
      <c r="V225" s="148"/>
      <c r="W225" s="148"/>
      <c r="X225" s="148"/>
      <c r="Y225" s="148"/>
      <c r="Z225" s="107"/>
      <c r="AA225" s="117">
        <v>225</v>
      </c>
      <c r="AB22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5" s="118"/>
      <c r="AD225" s="145" t="str">
        <f>REPLACE(INDEX(GroupVertices[Group], MATCH(Vertices[[#This Row],[Vertex]],GroupVertices[Vertex],0)),1,1,"")</f>
        <v>12</v>
      </c>
      <c r="AE225" s="2"/>
      <c r="AI225" s="3"/>
    </row>
    <row r="226" spans="1:35" x14ac:dyDescent="0.3">
      <c r="A226" s="108" t="s">
        <v>242</v>
      </c>
      <c r="B226" s="109"/>
      <c r="C226" s="109"/>
      <c r="D226" s="110"/>
      <c r="E226" s="111"/>
      <c r="F226" s="109"/>
      <c r="G226" s="109"/>
      <c r="H226" s="57" t="s">
        <v>242</v>
      </c>
      <c r="I226" s="112"/>
      <c r="J226" s="112"/>
      <c r="K226" s="57"/>
      <c r="L226" s="113"/>
      <c r="M226" s="114">
        <v>1357.918701171875</v>
      </c>
      <c r="N226" s="114">
        <v>2787.656982421875</v>
      </c>
      <c r="O226" s="115" t="s">
        <v>782</v>
      </c>
      <c r="P226" s="116"/>
      <c r="Q226" s="116"/>
      <c r="R226" s="147">
        <v>2</v>
      </c>
      <c r="S226" s="106"/>
      <c r="T226" s="106"/>
      <c r="U226" s="148">
        <v>211</v>
      </c>
      <c r="V226" s="148">
        <v>1.2049999999999999E-3</v>
      </c>
      <c r="W226" s="148">
        <v>3.0339999999999998E-3</v>
      </c>
      <c r="X226" s="148">
        <v>0.87556100000000003</v>
      </c>
      <c r="Y226" s="148">
        <v>0</v>
      </c>
      <c r="Z226" s="107"/>
      <c r="AA226" s="117">
        <v>226</v>
      </c>
      <c r="AB22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6" s="118"/>
      <c r="AD226" s="145" t="str">
        <f>REPLACE(INDEX(GroupVertices[Group], MATCH(Vertices[[#This Row],[Vertex]],GroupVertices[Vertex],0)),1,1,"")</f>
        <v>8</v>
      </c>
      <c r="AE226" s="2"/>
      <c r="AI226" s="3"/>
    </row>
    <row r="227" spans="1:35" x14ac:dyDescent="0.3">
      <c r="A227" s="108" t="s">
        <v>277</v>
      </c>
      <c r="B227" s="109"/>
      <c r="C227" s="109"/>
      <c r="D227" s="110"/>
      <c r="E227" s="111"/>
      <c r="F227" s="109"/>
      <c r="G227" s="109"/>
      <c r="H227" s="57" t="s">
        <v>734</v>
      </c>
      <c r="I227" s="112"/>
      <c r="J227" s="112"/>
      <c r="K227" s="57"/>
      <c r="L227" s="113"/>
      <c r="M227" s="114">
        <v>3873.554931640625</v>
      </c>
      <c r="N227" s="114">
        <v>6280.513671875</v>
      </c>
      <c r="O227" s="115" t="s">
        <v>782</v>
      </c>
      <c r="P227" s="116"/>
      <c r="Q227" s="116"/>
      <c r="R227" s="147">
        <v>2</v>
      </c>
      <c r="S227" s="106"/>
      <c r="T227" s="106"/>
      <c r="U227" s="148">
        <v>76.158074999999997</v>
      </c>
      <c r="V227" s="148">
        <v>1.1509999999999999E-3</v>
      </c>
      <c r="W227" s="148">
        <v>3.4220000000000001E-3</v>
      </c>
      <c r="X227" s="148">
        <v>0.65792799999999996</v>
      </c>
      <c r="Y227" s="148">
        <v>0</v>
      </c>
      <c r="Z227" s="107"/>
      <c r="AA227" s="117">
        <v>227</v>
      </c>
      <c r="AB22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7" s="118"/>
      <c r="AD227" s="145" t="str">
        <f>REPLACE(INDEX(GroupVertices[Group], MATCH(Vertices[[#This Row],[Vertex]],GroupVertices[Vertex],0)),1,1,"")</f>
        <v>2</v>
      </c>
      <c r="AE227" s="2"/>
      <c r="AI227" s="3"/>
    </row>
    <row r="228" spans="1:35" x14ac:dyDescent="0.3">
      <c r="A228" s="108" t="s">
        <v>289</v>
      </c>
      <c r="B228" s="109"/>
      <c r="C228" s="109"/>
      <c r="D228" s="110"/>
      <c r="E228" s="111"/>
      <c r="F228" s="109"/>
      <c r="G228" s="109"/>
      <c r="H228" s="57" t="s">
        <v>289</v>
      </c>
      <c r="I228" s="112"/>
      <c r="J228" s="112"/>
      <c r="K228" s="57"/>
      <c r="L228" s="113"/>
      <c r="M228" s="114">
        <v>4792.27392578125</v>
      </c>
      <c r="N228" s="114">
        <v>5695.87353515625</v>
      </c>
      <c r="O228" s="115" t="s">
        <v>782</v>
      </c>
      <c r="P228" s="116"/>
      <c r="Q228" s="116"/>
      <c r="R228" s="147">
        <v>1</v>
      </c>
      <c r="S228" s="106"/>
      <c r="T228" s="106"/>
      <c r="U228" s="148">
        <v>0</v>
      </c>
      <c r="V228" s="148">
        <v>1.0950000000000001E-3</v>
      </c>
      <c r="W228" s="148">
        <v>1.776E-3</v>
      </c>
      <c r="X228" s="148">
        <v>0.41542699999999999</v>
      </c>
      <c r="Y228" s="148">
        <v>0</v>
      </c>
      <c r="Z228" s="107"/>
      <c r="AA228" s="117">
        <v>228</v>
      </c>
      <c r="AB22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8" s="118"/>
      <c r="AD228" s="145" t="str">
        <f>REPLACE(INDEX(GroupVertices[Group], MATCH(Vertices[[#This Row],[Vertex]],GroupVertices[Vertex],0)),1,1,"")</f>
        <v>11</v>
      </c>
      <c r="AE228" s="2"/>
      <c r="AI228" s="3"/>
    </row>
    <row r="229" spans="1:35" x14ac:dyDescent="0.3">
      <c r="A229" s="108" t="s">
        <v>218</v>
      </c>
      <c r="B229" s="109"/>
      <c r="C229" s="109"/>
      <c r="D229" s="110"/>
      <c r="E229" s="111"/>
      <c r="F229" s="109"/>
      <c r="G229" s="109"/>
      <c r="H229" s="57" t="s">
        <v>218</v>
      </c>
      <c r="I229" s="112"/>
      <c r="J229" s="112"/>
      <c r="K229" s="57"/>
      <c r="L229" s="113"/>
      <c r="M229" s="114">
        <v>1185.2132568359375</v>
      </c>
      <c r="N229" s="114">
        <v>3269.85693359375</v>
      </c>
      <c r="O229" s="115" t="s">
        <v>782</v>
      </c>
      <c r="P229" s="116"/>
      <c r="Q229" s="116"/>
      <c r="R229" s="147">
        <v>2</v>
      </c>
      <c r="S229" s="106"/>
      <c r="T229" s="106"/>
      <c r="U229" s="148">
        <v>211</v>
      </c>
      <c r="V229" s="148">
        <v>1.2049999999999999E-3</v>
      </c>
      <c r="W229" s="148">
        <v>3.0339999999999998E-3</v>
      </c>
      <c r="X229" s="148">
        <v>0.87556100000000003</v>
      </c>
      <c r="Y229" s="148">
        <v>0</v>
      </c>
      <c r="Z229" s="107"/>
      <c r="AA229" s="117">
        <v>229</v>
      </c>
      <c r="AB22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29" s="118"/>
      <c r="AD229" s="145" t="str">
        <f>REPLACE(INDEX(GroupVertices[Group], MATCH(Vertices[[#This Row],[Vertex]],GroupVertices[Vertex],0)),1,1,"")</f>
        <v>8</v>
      </c>
      <c r="AE229" s="2"/>
      <c r="AI229" s="3"/>
    </row>
    <row r="230" spans="1:35" x14ac:dyDescent="0.3">
      <c r="A230" s="108" t="s">
        <v>253</v>
      </c>
      <c r="B230" s="109"/>
      <c r="C230" s="109"/>
      <c r="D230" s="110"/>
      <c r="E230" s="111"/>
      <c r="F230" s="109"/>
      <c r="G230" s="109"/>
      <c r="H230" s="57" t="s">
        <v>735</v>
      </c>
      <c r="I230" s="112"/>
      <c r="J230" s="112"/>
      <c r="K230" s="57"/>
      <c r="L230" s="113"/>
      <c r="M230" s="114">
        <v>2518.98193359375</v>
      </c>
      <c r="N230" s="114">
        <v>6094.36181640625</v>
      </c>
      <c r="O230" s="115" t="s">
        <v>782</v>
      </c>
      <c r="P230" s="116"/>
      <c r="Q230" s="116"/>
      <c r="R230" s="147">
        <v>1</v>
      </c>
      <c r="S230" s="106"/>
      <c r="T230" s="106"/>
      <c r="U230" s="148">
        <v>0</v>
      </c>
      <c r="V230" s="148">
        <v>1.106E-3</v>
      </c>
      <c r="W230" s="148">
        <v>2.4220000000000001E-3</v>
      </c>
      <c r="X230" s="148">
        <v>0.39549600000000001</v>
      </c>
      <c r="Y230" s="148">
        <v>0</v>
      </c>
      <c r="Z230" s="107"/>
      <c r="AA230" s="117">
        <v>230</v>
      </c>
      <c r="AB23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0" s="118"/>
      <c r="AD230" s="145" t="str">
        <f>REPLACE(INDEX(GroupVertices[Group], MATCH(Vertices[[#This Row],[Vertex]],GroupVertices[Vertex],0)),1,1,"")</f>
        <v>1</v>
      </c>
      <c r="AE230" s="2"/>
      <c r="AI230" s="3"/>
    </row>
    <row r="231" spans="1:35" x14ac:dyDescent="0.3">
      <c r="A231" s="108" t="s">
        <v>349</v>
      </c>
      <c r="B231" s="109"/>
      <c r="C231" s="109"/>
      <c r="D231" s="110"/>
      <c r="E231" s="111"/>
      <c r="F231" s="109"/>
      <c r="G231" s="109"/>
      <c r="H231" s="57" t="s">
        <v>349</v>
      </c>
      <c r="I231" s="112"/>
      <c r="J231" s="112"/>
      <c r="K231" s="57"/>
      <c r="L231" s="113"/>
      <c r="M231" s="114">
        <v>6053.37109375</v>
      </c>
      <c r="N231" s="114">
        <v>4814.0830078125</v>
      </c>
      <c r="O231" s="115" t="s">
        <v>782</v>
      </c>
      <c r="P231" s="116"/>
      <c r="Q231" s="116"/>
      <c r="R231" s="147">
        <v>2</v>
      </c>
      <c r="S231" s="106"/>
      <c r="T231" s="106"/>
      <c r="U231" s="148">
        <v>3.7852839999999999</v>
      </c>
      <c r="V231" s="148">
        <v>1.175E-3</v>
      </c>
      <c r="W231" s="148">
        <v>6.7340000000000004E-3</v>
      </c>
      <c r="X231" s="148">
        <v>0.59976499999999999</v>
      </c>
      <c r="Y231" s="148">
        <v>0</v>
      </c>
      <c r="Z231" s="107"/>
      <c r="AA231" s="117">
        <v>231</v>
      </c>
      <c r="AB23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1" s="118"/>
      <c r="AD231" s="145" t="str">
        <f>REPLACE(INDEX(GroupVertices[Group], MATCH(Vertices[[#This Row],[Vertex]],GroupVertices[Vertex],0)),1,1,"")</f>
        <v>1</v>
      </c>
      <c r="AE231" s="2"/>
      <c r="AI231" s="3"/>
    </row>
    <row r="232" spans="1:35" x14ac:dyDescent="0.3">
      <c r="A232" s="108" t="s">
        <v>257</v>
      </c>
      <c r="B232" s="109"/>
      <c r="C232" s="109"/>
      <c r="D232" s="110"/>
      <c r="E232" s="111"/>
      <c r="F232" s="109"/>
      <c r="G232" s="109"/>
      <c r="H232" s="57" t="s">
        <v>257</v>
      </c>
      <c r="I232" s="112"/>
      <c r="J232" s="112"/>
      <c r="K232" s="57"/>
      <c r="L232" s="113"/>
      <c r="M232" s="114">
        <v>3303.64501953125</v>
      </c>
      <c r="N232" s="114">
        <v>4263.3994140625</v>
      </c>
      <c r="O232" s="115" t="s">
        <v>782</v>
      </c>
      <c r="P232" s="116"/>
      <c r="Q232" s="116"/>
      <c r="R232" s="147">
        <v>10</v>
      </c>
      <c r="S232" s="106"/>
      <c r="T232" s="106"/>
      <c r="U232" s="148">
        <v>1173.689815</v>
      </c>
      <c r="V232" s="148">
        <v>1.4250000000000001E-3</v>
      </c>
      <c r="W232" s="148">
        <v>1.3488999999999999E-2</v>
      </c>
      <c r="X232" s="148">
        <v>2.7769759999999999</v>
      </c>
      <c r="Y232" s="148">
        <v>0</v>
      </c>
      <c r="Z232" s="107"/>
      <c r="AA232" s="117">
        <v>232</v>
      </c>
      <c r="AB23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2" s="118"/>
      <c r="AD232" s="145" t="str">
        <f>REPLACE(INDEX(GroupVertices[Group], MATCH(Vertices[[#This Row],[Vertex]],GroupVertices[Vertex],0)),1,1,"")</f>
        <v>4</v>
      </c>
      <c r="AE232" s="2"/>
      <c r="AI232" s="3"/>
    </row>
    <row r="233" spans="1:35" x14ac:dyDescent="0.3">
      <c r="A233" s="108" t="s">
        <v>369</v>
      </c>
      <c r="B233" s="109"/>
      <c r="C233" s="109"/>
      <c r="D233" s="110"/>
      <c r="E233" s="111"/>
      <c r="F233" s="109"/>
      <c r="G233" s="109"/>
      <c r="H233" s="57" t="s">
        <v>736</v>
      </c>
      <c r="I233" s="112"/>
      <c r="J233" s="112"/>
      <c r="K233" s="57"/>
      <c r="L233" s="113"/>
      <c r="M233" s="114">
        <v>1975.044677734375</v>
      </c>
      <c r="N233" s="114">
        <v>5404.91015625</v>
      </c>
      <c r="O233" s="115" t="s">
        <v>782</v>
      </c>
      <c r="P233" s="116"/>
      <c r="Q233" s="116"/>
      <c r="R233" s="147">
        <v>1</v>
      </c>
      <c r="S233" s="106"/>
      <c r="T233" s="106"/>
      <c r="U233" s="148">
        <v>0</v>
      </c>
      <c r="V233" s="148">
        <v>1.003E-3</v>
      </c>
      <c r="W233" s="148">
        <v>7.2599999999999997E-4</v>
      </c>
      <c r="X233" s="148">
        <v>0.423842</v>
      </c>
      <c r="Y233" s="148">
        <v>0</v>
      </c>
      <c r="Z233" s="107"/>
      <c r="AA233" s="117">
        <v>233</v>
      </c>
      <c r="AB23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3" s="118"/>
      <c r="AD233" s="145" t="str">
        <f>REPLACE(INDEX(GroupVertices[Group], MATCH(Vertices[[#This Row],[Vertex]],GroupVertices[Vertex],0)),1,1,"")</f>
        <v>2</v>
      </c>
      <c r="AE233" s="2"/>
      <c r="AI233" s="3"/>
    </row>
    <row r="234" spans="1:35" x14ac:dyDescent="0.3">
      <c r="A234" s="108" t="s">
        <v>207</v>
      </c>
      <c r="B234" s="109"/>
      <c r="C234" s="109"/>
      <c r="D234" s="110"/>
      <c r="E234" s="111"/>
      <c r="F234" s="109"/>
      <c r="G234" s="109"/>
      <c r="H234" s="57" t="s">
        <v>207</v>
      </c>
      <c r="I234" s="112"/>
      <c r="J234" s="112"/>
      <c r="K234" s="57"/>
      <c r="L234" s="113"/>
      <c r="M234" s="114">
        <v>3413.573486328125</v>
      </c>
      <c r="N234" s="114">
        <v>5724.59326171875</v>
      </c>
      <c r="O234" s="115" t="s">
        <v>782</v>
      </c>
      <c r="P234" s="116"/>
      <c r="Q234" s="116"/>
      <c r="R234" s="147">
        <v>9</v>
      </c>
      <c r="S234" s="106"/>
      <c r="T234" s="106"/>
      <c r="U234" s="148">
        <v>1135.2181840000001</v>
      </c>
      <c r="V234" s="148">
        <v>1.361E-3</v>
      </c>
      <c r="W234" s="148">
        <v>8.2839999999999997E-3</v>
      </c>
      <c r="X234" s="148">
        <v>2.893837</v>
      </c>
      <c r="Y234" s="148">
        <v>0</v>
      </c>
      <c r="Z234" s="107"/>
      <c r="AA234" s="117">
        <v>234</v>
      </c>
      <c r="AB23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4" s="118"/>
      <c r="AD234" s="145" t="str">
        <f>REPLACE(INDEX(GroupVertices[Group], MATCH(Vertices[[#This Row],[Vertex]],GroupVertices[Vertex],0)),1,1,"")</f>
        <v>1</v>
      </c>
      <c r="AE234" s="2"/>
      <c r="AI234" s="3"/>
    </row>
    <row r="235" spans="1:35" x14ac:dyDescent="0.3">
      <c r="A235" s="108" t="s">
        <v>228</v>
      </c>
      <c r="B235" s="109"/>
      <c r="C235" s="109"/>
      <c r="D235" s="110"/>
      <c r="E235" s="111"/>
      <c r="F235" s="109"/>
      <c r="G235" s="109"/>
      <c r="H235" s="57" t="s">
        <v>228</v>
      </c>
      <c r="I235" s="112"/>
      <c r="J235" s="112"/>
      <c r="K235" s="57"/>
      <c r="L235" s="113"/>
      <c r="M235" s="114">
        <v>4557.541015625</v>
      </c>
      <c r="N235" s="114">
        <v>3101.50244140625</v>
      </c>
      <c r="O235" s="115" t="s">
        <v>782</v>
      </c>
      <c r="P235" s="116"/>
      <c r="Q235" s="116"/>
      <c r="R235" s="147">
        <v>9</v>
      </c>
      <c r="S235" s="106"/>
      <c r="T235" s="106"/>
      <c r="U235" s="148">
        <v>1471.2828239999999</v>
      </c>
      <c r="V235" s="148">
        <v>1.3619999999999999E-3</v>
      </c>
      <c r="W235" s="148">
        <v>8.0590000000000002E-3</v>
      </c>
      <c r="X235" s="148">
        <v>3.2880609999999999</v>
      </c>
      <c r="Y235" s="148">
        <v>0</v>
      </c>
      <c r="Z235" s="107"/>
      <c r="AA235" s="117">
        <v>235</v>
      </c>
      <c r="AB23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5" s="118"/>
      <c r="AD235" s="145" t="str">
        <f>REPLACE(INDEX(GroupVertices[Group], MATCH(Vertices[[#This Row],[Vertex]],GroupVertices[Vertex],0)),1,1,"")</f>
        <v>11</v>
      </c>
      <c r="AE235" s="2"/>
      <c r="AI235" s="3"/>
    </row>
    <row r="236" spans="1:35" x14ac:dyDescent="0.3">
      <c r="A236" s="108" t="s">
        <v>581</v>
      </c>
      <c r="B236" s="109"/>
      <c r="C236" s="109"/>
      <c r="D236" s="110"/>
      <c r="E236" s="111"/>
      <c r="F236" s="109"/>
      <c r="G236" s="109"/>
      <c r="H236" s="57" t="s">
        <v>581</v>
      </c>
      <c r="I236" s="112"/>
      <c r="J236" s="112"/>
      <c r="K236" s="57"/>
      <c r="L236" s="113"/>
      <c r="M236" s="114">
        <v>8241.8544921875</v>
      </c>
      <c r="N236" s="114">
        <v>246.92013549804688</v>
      </c>
      <c r="O236" s="115" t="s">
        <v>782</v>
      </c>
      <c r="P236" s="116"/>
      <c r="Q236" s="116"/>
      <c r="R236" s="147"/>
      <c r="S236" s="106"/>
      <c r="T236" s="106"/>
      <c r="U236" s="148"/>
      <c r="V236" s="148"/>
      <c r="W236" s="148"/>
      <c r="X236" s="148"/>
      <c r="Y236" s="148"/>
      <c r="Z236" s="107"/>
      <c r="AA236" s="117">
        <v>236</v>
      </c>
      <c r="AB23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6" s="118"/>
      <c r="AD236" s="145" t="str">
        <f>REPLACE(INDEX(GroupVertices[Group], MATCH(Vertices[[#This Row],[Vertex]],GroupVertices[Vertex],0)),1,1,"")</f>
        <v>2</v>
      </c>
      <c r="AE236" s="2"/>
      <c r="AI236" s="3"/>
    </row>
    <row r="237" spans="1:35" x14ac:dyDescent="0.3">
      <c r="A237" s="108" t="s">
        <v>263</v>
      </c>
      <c r="B237" s="109"/>
      <c r="C237" s="109"/>
      <c r="D237" s="110"/>
      <c r="E237" s="111"/>
      <c r="F237" s="109"/>
      <c r="G237" s="109"/>
      <c r="H237" s="57" t="s">
        <v>737</v>
      </c>
      <c r="I237" s="112"/>
      <c r="J237" s="112"/>
      <c r="K237" s="57"/>
      <c r="L237" s="113"/>
      <c r="M237" s="114">
        <v>4418.03662109375</v>
      </c>
      <c r="N237" s="114">
        <v>7931.42626953125</v>
      </c>
      <c r="O237" s="115" t="s">
        <v>782</v>
      </c>
      <c r="P237" s="116"/>
      <c r="Q237" s="116"/>
      <c r="R237" s="147">
        <v>2</v>
      </c>
      <c r="S237" s="106"/>
      <c r="T237" s="106"/>
      <c r="U237" s="148">
        <v>84.374289000000005</v>
      </c>
      <c r="V237" s="148">
        <v>1.0709999999999999E-3</v>
      </c>
      <c r="W237" s="148">
        <v>1.529E-3</v>
      </c>
      <c r="X237" s="148">
        <v>0.72996099999999997</v>
      </c>
      <c r="Y237" s="148">
        <v>0</v>
      </c>
      <c r="Z237" s="107"/>
      <c r="AA237" s="117">
        <v>237</v>
      </c>
      <c r="AB23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7" s="118"/>
      <c r="AD237" s="145" t="str">
        <f>REPLACE(INDEX(GroupVertices[Group], MATCH(Vertices[[#This Row],[Vertex]],GroupVertices[Vertex],0)),1,1,"")</f>
        <v>2</v>
      </c>
      <c r="AE237" s="2"/>
      <c r="AI237" s="3"/>
    </row>
    <row r="238" spans="1:35" x14ac:dyDescent="0.3">
      <c r="A238" s="108" t="s">
        <v>276</v>
      </c>
      <c r="B238" s="109"/>
      <c r="C238" s="109"/>
      <c r="D238" s="110"/>
      <c r="E238" s="111"/>
      <c r="F238" s="109"/>
      <c r="G238" s="109"/>
      <c r="H238" s="57" t="s">
        <v>738</v>
      </c>
      <c r="I238" s="112"/>
      <c r="J238" s="112"/>
      <c r="K238" s="57"/>
      <c r="L238" s="113"/>
      <c r="M238" s="114">
        <v>2806.63037109375</v>
      </c>
      <c r="N238" s="114">
        <v>8045.474609375</v>
      </c>
      <c r="O238" s="115" t="s">
        <v>782</v>
      </c>
      <c r="P238" s="116"/>
      <c r="Q238" s="116"/>
      <c r="R238" s="147">
        <v>1</v>
      </c>
      <c r="S238" s="106"/>
      <c r="T238" s="106"/>
      <c r="U238" s="148">
        <v>0</v>
      </c>
      <c r="V238" s="148">
        <v>1.0280000000000001E-3</v>
      </c>
      <c r="W238" s="148">
        <v>1.3829999999999999E-3</v>
      </c>
      <c r="X238" s="148">
        <v>0.42460599999999998</v>
      </c>
      <c r="Y238" s="148">
        <v>0</v>
      </c>
      <c r="Z238" s="107"/>
      <c r="AA238" s="117">
        <v>238</v>
      </c>
      <c r="AB23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8" s="118"/>
      <c r="AD238" s="145" t="str">
        <f>REPLACE(INDEX(GroupVertices[Group], MATCH(Vertices[[#This Row],[Vertex]],GroupVertices[Vertex],0)),1,1,"")</f>
        <v>6</v>
      </c>
      <c r="AE238" s="2"/>
      <c r="AI238" s="3"/>
    </row>
    <row r="239" spans="1:35" x14ac:dyDescent="0.3">
      <c r="A239" s="108" t="s">
        <v>305</v>
      </c>
      <c r="B239" s="109"/>
      <c r="C239" s="109"/>
      <c r="D239" s="110"/>
      <c r="E239" s="111"/>
      <c r="F239" s="109"/>
      <c r="G239" s="109"/>
      <c r="H239" s="57" t="s">
        <v>305</v>
      </c>
      <c r="I239" s="112"/>
      <c r="J239" s="112"/>
      <c r="K239" s="57"/>
      <c r="L239" s="113"/>
      <c r="M239" s="114">
        <v>3218.99169921875</v>
      </c>
      <c r="N239" s="114">
        <v>2630.364013671875</v>
      </c>
      <c r="O239" s="115" t="s">
        <v>782</v>
      </c>
      <c r="P239" s="116"/>
      <c r="Q239" s="116"/>
      <c r="R239" s="147">
        <v>3</v>
      </c>
      <c r="S239" s="106"/>
      <c r="T239" s="106"/>
      <c r="U239" s="148">
        <v>79.997619</v>
      </c>
      <c r="V239" s="148">
        <v>1.2440000000000001E-3</v>
      </c>
      <c r="W239" s="148">
        <v>1.0451999999999999E-2</v>
      </c>
      <c r="X239" s="148">
        <v>0.86334100000000003</v>
      </c>
      <c r="Y239" s="148">
        <v>0</v>
      </c>
      <c r="Z239" s="107"/>
      <c r="AA239" s="117">
        <v>239</v>
      </c>
      <c r="AB239"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39" s="118"/>
      <c r="AD239" s="145" t="str">
        <f>REPLACE(INDEX(GroupVertices[Group], MATCH(Vertices[[#This Row],[Vertex]],GroupVertices[Vertex],0)),1,1,"")</f>
        <v>4</v>
      </c>
      <c r="AE239" s="2"/>
      <c r="AI239" s="3"/>
    </row>
    <row r="240" spans="1:35" x14ac:dyDescent="0.3">
      <c r="A240" s="108" t="s">
        <v>234</v>
      </c>
      <c r="B240" s="109"/>
      <c r="C240" s="109"/>
      <c r="D240" s="110"/>
      <c r="E240" s="111"/>
      <c r="F240" s="109"/>
      <c r="G240" s="109"/>
      <c r="H240" s="57" t="s">
        <v>234</v>
      </c>
      <c r="I240" s="112"/>
      <c r="J240" s="112"/>
      <c r="K240" s="57"/>
      <c r="L240" s="113"/>
      <c r="M240" s="114">
        <v>3677.828369140625</v>
      </c>
      <c r="N240" s="114">
        <v>3223.8486328125</v>
      </c>
      <c r="O240" s="115" t="s">
        <v>782</v>
      </c>
      <c r="P240" s="116"/>
      <c r="Q240" s="116"/>
      <c r="R240" s="147">
        <v>3</v>
      </c>
      <c r="S240" s="106"/>
      <c r="T240" s="106"/>
      <c r="U240" s="148">
        <v>366.20774799999998</v>
      </c>
      <c r="V240" s="148">
        <v>1.3179999999999999E-3</v>
      </c>
      <c r="W240" s="148">
        <v>6.0980000000000001E-3</v>
      </c>
      <c r="X240" s="148">
        <v>0.93860600000000005</v>
      </c>
      <c r="Y240" s="148">
        <v>0</v>
      </c>
      <c r="Z240" s="107"/>
      <c r="AA240" s="117">
        <v>240</v>
      </c>
      <c r="AB240"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0" s="118"/>
      <c r="AD240" s="145" t="str">
        <f>REPLACE(INDEX(GroupVertices[Group], MATCH(Vertices[[#This Row],[Vertex]],GroupVertices[Vertex],0)),1,1,"")</f>
        <v>10</v>
      </c>
      <c r="AE240" s="2"/>
      <c r="AI240" s="3"/>
    </row>
    <row r="241" spans="1:35" x14ac:dyDescent="0.3">
      <c r="A241" s="108" t="s">
        <v>246</v>
      </c>
      <c r="B241" s="109"/>
      <c r="C241" s="109"/>
      <c r="D241" s="110"/>
      <c r="E241" s="111"/>
      <c r="F241" s="109"/>
      <c r="G241" s="109"/>
      <c r="H241" s="57" t="s">
        <v>246</v>
      </c>
      <c r="I241" s="112"/>
      <c r="J241" s="112"/>
      <c r="K241" s="57"/>
      <c r="L241" s="113"/>
      <c r="M241" s="114">
        <v>3871.994384765625</v>
      </c>
      <c r="N241" s="114">
        <v>4696.7060546875</v>
      </c>
      <c r="O241" s="115" t="s">
        <v>782</v>
      </c>
      <c r="P241" s="116"/>
      <c r="Q241" s="116"/>
      <c r="R241" s="147">
        <v>6</v>
      </c>
      <c r="S241" s="106"/>
      <c r="T241" s="106"/>
      <c r="U241" s="148">
        <v>655.55456600000002</v>
      </c>
      <c r="V241" s="148">
        <v>1.364E-3</v>
      </c>
      <c r="W241" s="148">
        <v>1.1132E-2</v>
      </c>
      <c r="X241" s="148">
        <v>1.6270929999999999</v>
      </c>
      <c r="Y241" s="148">
        <v>0</v>
      </c>
      <c r="Z241" s="107"/>
      <c r="AA241" s="117">
        <v>241</v>
      </c>
      <c r="AB241"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1" s="118"/>
      <c r="AD241" s="145" t="str">
        <f>REPLACE(INDEX(GroupVertices[Group], MATCH(Vertices[[#This Row],[Vertex]],GroupVertices[Vertex],0)),1,1,"")</f>
        <v>5</v>
      </c>
      <c r="AE241" s="2"/>
      <c r="AI241" s="3"/>
    </row>
    <row r="242" spans="1:35" x14ac:dyDescent="0.3">
      <c r="A242" s="108" t="s">
        <v>259</v>
      </c>
      <c r="B242" s="109"/>
      <c r="C242" s="109"/>
      <c r="D242" s="110"/>
      <c r="E242" s="111"/>
      <c r="F242" s="109"/>
      <c r="G242" s="109"/>
      <c r="H242" s="57" t="s">
        <v>259</v>
      </c>
      <c r="I242" s="112"/>
      <c r="J242" s="112"/>
      <c r="K242" s="57"/>
      <c r="L242" s="113"/>
      <c r="M242" s="114">
        <v>4819.37158203125</v>
      </c>
      <c r="N242" s="114">
        <v>4680.47021484375</v>
      </c>
      <c r="O242" s="115" t="s">
        <v>782</v>
      </c>
      <c r="P242" s="116"/>
      <c r="Q242" s="116"/>
      <c r="R242" s="147">
        <v>4</v>
      </c>
      <c r="S242" s="106"/>
      <c r="T242" s="106"/>
      <c r="U242" s="148">
        <v>192.55101199999999</v>
      </c>
      <c r="V242" s="148">
        <v>1.2520000000000001E-3</v>
      </c>
      <c r="W242" s="148">
        <v>4.7879999999999997E-3</v>
      </c>
      <c r="X242" s="148">
        <v>1.2207570000000001</v>
      </c>
      <c r="Y242" s="148">
        <v>0</v>
      </c>
      <c r="Z242" s="107"/>
      <c r="AA242" s="117">
        <v>242</v>
      </c>
      <c r="AB242"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2" s="118"/>
      <c r="AD242" s="145" t="str">
        <f>REPLACE(INDEX(GroupVertices[Group], MATCH(Vertices[[#This Row],[Vertex]],GroupVertices[Vertex],0)),1,1,"")</f>
        <v>2</v>
      </c>
      <c r="AE242" s="2"/>
      <c r="AI242" s="3"/>
    </row>
    <row r="243" spans="1:35" x14ac:dyDescent="0.3">
      <c r="A243" s="108" t="s">
        <v>233</v>
      </c>
      <c r="B243" s="109"/>
      <c r="C243" s="109"/>
      <c r="D243" s="110"/>
      <c r="E243" s="111"/>
      <c r="F243" s="109"/>
      <c r="G243" s="109"/>
      <c r="H243" s="57" t="s">
        <v>739</v>
      </c>
      <c r="I243" s="112"/>
      <c r="J243" s="112"/>
      <c r="K243" s="57"/>
      <c r="L243" s="113"/>
      <c r="M243" s="114">
        <v>5168.8759765625</v>
      </c>
      <c r="N243" s="114">
        <v>4300.25048828125</v>
      </c>
      <c r="O243" s="115" t="s">
        <v>782</v>
      </c>
      <c r="P243" s="116"/>
      <c r="Q243" s="116"/>
      <c r="R243" s="147">
        <v>2</v>
      </c>
      <c r="S243" s="106"/>
      <c r="T243" s="106"/>
      <c r="U243" s="148">
        <v>22.749227999999999</v>
      </c>
      <c r="V243" s="148">
        <v>1.25E-3</v>
      </c>
      <c r="W243" s="148">
        <v>3.4780000000000002E-3</v>
      </c>
      <c r="X243" s="148">
        <v>0.64882300000000004</v>
      </c>
      <c r="Y243" s="148">
        <v>0</v>
      </c>
      <c r="Z243" s="107"/>
      <c r="AA243" s="117">
        <v>243</v>
      </c>
      <c r="AB243"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3" s="118"/>
      <c r="AD243" s="145" t="str">
        <f>REPLACE(INDEX(GroupVertices[Group], MATCH(Vertices[[#This Row],[Vertex]],GroupVertices[Vertex],0)),1,1,"")</f>
        <v>5</v>
      </c>
      <c r="AE243" s="2"/>
      <c r="AI243" s="3"/>
    </row>
    <row r="244" spans="1:35" x14ac:dyDescent="0.3">
      <c r="A244" s="108" t="s">
        <v>378</v>
      </c>
      <c r="B244" s="109"/>
      <c r="C244" s="109"/>
      <c r="D244" s="110"/>
      <c r="E244" s="111"/>
      <c r="F244" s="109"/>
      <c r="G244" s="109"/>
      <c r="H244" s="57" t="s">
        <v>378</v>
      </c>
      <c r="I244" s="112"/>
      <c r="J244" s="112"/>
      <c r="K244" s="57"/>
      <c r="L244" s="113"/>
      <c r="M244" s="114">
        <v>5677.79052734375</v>
      </c>
      <c r="N244" s="114">
        <v>3765.4306640625</v>
      </c>
      <c r="O244" s="115" t="s">
        <v>782</v>
      </c>
      <c r="P244" s="116"/>
      <c r="Q244" s="116"/>
      <c r="R244" s="147">
        <v>1</v>
      </c>
      <c r="S244" s="106"/>
      <c r="T244" s="106"/>
      <c r="U244" s="148">
        <v>0</v>
      </c>
      <c r="V244" s="148">
        <v>1.0920000000000001E-3</v>
      </c>
      <c r="W244" s="148">
        <v>1.9220000000000001E-3</v>
      </c>
      <c r="X244" s="148">
        <v>0.40993099999999999</v>
      </c>
      <c r="Y244" s="148">
        <v>0</v>
      </c>
      <c r="Z244" s="107"/>
      <c r="AA244" s="117">
        <v>244</v>
      </c>
      <c r="AB244"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4" s="118"/>
      <c r="AD244" s="145" t="str">
        <f>REPLACE(INDEX(GroupVertices[Group], MATCH(Vertices[[#This Row],[Vertex]],GroupVertices[Vertex],0)),1,1,"")</f>
        <v>2</v>
      </c>
      <c r="AE244" s="2"/>
      <c r="AI244" s="3"/>
    </row>
    <row r="245" spans="1:35" x14ac:dyDescent="0.3">
      <c r="A245" s="108" t="s">
        <v>589</v>
      </c>
      <c r="B245" s="109"/>
      <c r="C245" s="109"/>
      <c r="D245" s="110"/>
      <c r="E245" s="111"/>
      <c r="F245" s="109"/>
      <c r="G245" s="109"/>
      <c r="H245" s="57" t="s">
        <v>589</v>
      </c>
      <c r="I245" s="112"/>
      <c r="J245" s="112"/>
      <c r="K245" s="57"/>
      <c r="L245" s="113"/>
      <c r="M245" s="114">
        <v>8725.416015625</v>
      </c>
      <c r="N245" s="114">
        <v>7029.91796875</v>
      </c>
      <c r="O245" s="115" t="s">
        <v>782</v>
      </c>
      <c r="P245" s="116"/>
      <c r="Q245" s="116"/>
      <c r="R245" s="147"/>
      <c r="S245" s="106"/>
      <c r="T245" s="106"/>
      <c r="U245" s="148"/>
      <c r="V245" s="148"/>
      <c r="W245" s="148"/>
      <c r="X245" s="148"/>
      <c r="Y245" s="148"/>
      <c r="Z245" s="107"/>
      <c r="AA245" s="117">
        <v>245</v>
      </c>
      <c r="AB245"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5" s="118"/>
      <c r="AD245" s="145" t="str">
        <f>REPLACE(INDEX(GroupVertices[Group], MATCH(Vertices[[#This Row],[Vertex]],GroupVertices[Vertex],0)),1,1,"")</f>
        <v>1</v>
      </c>
      <c r="AE245" s="2"/>
      <c r="AI245" s="3"/>
    </row>
    <row r="246" spans="1:35" x14ac:dyDescent="0.3">
      <c r="A246" s="108" t="s">
        <v>565</v>
      </c>
      <c r="B246" s="109"/>
      <c r="C246" s="109"/>
      <c r="D246" s="110"/>
      <c r="E246" s="111"/>
      <c r="F246" s="109"/>
      <c r="G246" s="109"/>
      <c r="H246" s="57" t="s">
        <v>740</v>
      </c>
      <c r="I246" s="112"/>
      <c r="J246" s="112"/>
      <c r="K246" s="57"/>
      <c r="L246" s="113"/>
      <c r="M246" s="114">
        <v>2010.123779296875</v>
      </c>
      <c r="N246" s="114">
        <v>4659.8505859375</v>
      </c>
      <c r="O246" s="115" t="s">
        <v>782</v>
      </c>
      <c r="P246" s="116"/>
      <c r="Q246" s="116"/>
      <c r="R246" s="147"/>
      <c r="S246" s="106"/>
      <c r="T246" s="106"/>
      <c r="U246" s="148"/>
      <c r="V246" s="148"/>
      <c r="W246" s="148"/>
      <c r="X246" s="148"/>
      <c r="Y246" s="148"/>
      <c r="Z246" s="107"/>
      <c r="AA246" s="117">
        <v>246</v>
      </c>
      <c r="AB246"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6" s="118"/>
      <c r="AD246" s="145" t="str">
        <f>REPLACE(INDEX(GroupVertices[Group], MATCH(Vertices[[#This Row],[Vertex]],GroupVertices[Vertex],0)),1,1,"")</f>
        <v>9</v>
      </c>
      <c r="AE246" s="2"/>
      <c r="AI246" s="3"/>
    </row>
    <row r="247" spans="1:35" x14ac:dyDescent="0.3">
      <c r="A247" s="108" t="s">
        <v>206</v>
      </c>
      <c r="B247" s="109"/>
      <c r="C247" s="109"/>
      <c r="D247" s="110"/>
      <c r="E247" s="111"/>
      <c r="F247" s="109"/>
      <c r="G247" s="109"/>
      <c r="H247" s="57" t="s">
        <v>741</v>
      </c>
      <c r="I247" s="112"/>
      <c r="J247" s="112"/>
      <c r="K247" s="57"/>
      <c r="L247" s="113"/>
      <c r="M247" s="114">
        <v>6407.8740234375</v>
      </c>
      <c r="N247" s="114">
        <v>6052.35205078125</v>
      </c>
      <c r="O247" s="115" t="s">
        <v>782</v>
      </c>
      <c r="P247" s="116"/>
      <c r="Q247" s="116"/>
      <c r="R247" s="147">
        <v>3</v>
      </c>
      <c r="S247" s="106"/>
      <c r="T247" s="106"/>
      <c r="U247" s="148">
        <v>52.474395999999999</v>
      </c>
      <c r="V247" s="148">
        <v>1.16E-3</v>
      </c>
      <c r="W247" s="148">
        <v>1.596E-3</v>
      </c>
      <c r="X247" s="148">
        <v>0.92782600000000004</v>
      </c>
      <c r="Y247" s="148">
        <v>0</v>
      </c>
      <c r="Z247" s="107"/>
      <c r="AA247" s="117">
        <v>247</v>
      </c>
      <c r="AB247"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7" s="118"/>
      <c r="AD247" s="145" t="str">
        <f>REPLACE(INDEX(GroupVertices[Group], MATCH(Vertices[[#This Row],[Vertex]],GroupVertices[Vertex],0)),1,1,"")</f>
        <v>2</v>
      </c>
      <c r="AE247" s="2"/>
      <c r="AI247" s="3"/>
    </row>
    <row r="248" spans="1:35" x14ac:dyDescent="0.3">
      <c r="A248" s="108" t="s">
        <v>591</v>
      </c>
      <c r="B248" s="109"/>
      <c r="C248" s="109"/>
      <c r="D248" s="110"/>
      <c r="E248" s="111"/>
      <c r="F248" s="109"/>
      <c r="G248" s="109"/>
      <c r="H248" s="57" t="s">
        <v>591</v>
      </c>
      <c r="I248" s="112"/>
      <c r="J248" s="112"/>
      <c r="K248" s="57"/>
      <c r="L248" s="113"/>
      <c r="M248" s="114">
        <v>8642.8310546875</v>
      </c>
      <c r="N248" s="114">
        <v>7209.9482421875</v>
      </c>
      <c r="O248" s="115" t="s">
        <v>782</v>
      </c>
      <c r="P248" s="116"/>
      <c r="Q248" s="116"/>
      <c r="R248" s="147"/>
      <c r="S248" s="106"/>
      <c r="T248" s="106"/>
      <c r="U248" s="148"/>
      <c r="V248" s="148"/>
      <c r="W248" s="148"/>
      <c r="X248" s="148"/>
      <c r="Y248" s="148"/>
      <c r="Z248" s="107"/>
      <c r="AA248" s="117">
        <v>248</v>
      </c>
      <c r="AB248" s="117"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8" s="118"/>
      <c r="AD248" s="145" t="str">
        <f>REPLACE(INDEX(GroupVertices[Group], MATCH(Vertices[[#This Row],[Vertex]],GroupVertices[Vertex],0)),1,1,"")</f>
        <v>1</v>
      </c>
      <c r="AE248" s="2"/>
      <c r="AI248" s="3"/>
    </row>
    <row r="249" spans="1:35" x14ac:dyDescent="0.3">
      <c r="A249" s="108" t="s">
        <v>273</v>
      </c>
      <c r="B249" s="120"/>
      <c r="C249" s="120"/>
      <c r="D249" s="121"/>
      <c r="E249" s="122"/>
      <c r="F249" s="120"/>
      <c r="G249" s="120"/>
      <c r="H249" s="123" t="s">
        <v>273</v>
      </c>
      <c r="I249" s="124"/>
      <c r="J249" s="124"/>
      <c r="K249" s="123"/>
      <c r="L249" s="125"/>
      <c r="M249" s="126">
        <v>3538.259521484375</v>
      </c>
      <c r="N249" s="126">
        <v>8227.8466796875</v>
      </c>
      <c r="O249" s="115" t="s">
        <v>782</v>
      </c>
      <c r="P249" s="127"/>
      <c r="Q249" s="127"/>
      <c r="R249" s="147">
        <v>1</v>
      </c>
      <c r="S249" s="128"/>
      <c r="T249" s="128"/>
      <c r="U249" s="148">
        <v>0</v>
      </c>
      <c r="V249" s="148">
        <v>1.0280000000000001E-3</v>
      </c>
      <c r="W249" s="148">
        <v>1.3829999999999999E-3</v>
      </c>
      <c r="X249" s="148">
        <v>0.42460599999999998</v>
      </c>
      <c r="Y249" s="148">
        <v>0</v>
      </c>
      <c r="Z249" s="129"/>
      <c r="AA249" s="130">
        <v>249</v>
      </c>
      <c r="AB249" s="130"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49" s="118"/>
      <c r="AD249" s="145" t="str">
        <f>REPLACE(INDEX(GroupVertices[Group], MATCH(Vertices[[#This Row],[Vertex]],GroupVertices[Vertex],0)),1,1,"")</f>
        <v>6</v>
      </c>
      <c r="AE249" s="2"/>
      <c r="AI249" s="3"/>
    </row>
    <row r="250" spans="1:35" ht="31.8" x14ac:dyDescent="0.3">
      <c r="A250" s="119" t="s">
        <v>785</v>
      </c>
      <c r="B250" s="120"/>
      <c r="C250" s="120"/>
      <c r="D250" s="121"/>
      <c r="E250" s="122"/>
      <c r="F250" s="120"/>
      <c r="G250" s="120"/>
      <c r="H250" s="62" t="s">
        <v>786</v>
      </c>
      <c r="I250" s="124"/>
      <c r="J250" s="124"/>
      <c r="K250" s="123"/>
      <c r="L250" s="125"/>
      <c r="M250" s="126">
        <v>3591.07275390625</v>
      </c>
      <c r="N250" s="126">
        <v>5511.33984375</v>
      </c>
      <c r="O250" s="115" t="s">
        <v>782</v>
      </c>
      <c r="P250" s="127"/>
      <c r="Q250" s="127"/>
      <c r="R250" s="147">
        <v>11</v>
      </c>
      <c r="S250" s="128"/>
      <c r="T250" s="128"/>
      <c r="U250" s="148">
        <v>1363.5256400000001</v>
      </c>
      <c r="V250" s="148">
        <v>1.4430000000000001E-3</v>
      </c>
      <c r="W250" s="148">
        <v>1.5103999999999999E-2</v>
      </c>
      <c r="X250" s="148">
        <v>3.1770079999999998</v>
      </c>
      <c r="Y250" s="148">
        <v>0</v>
      </c>
      <c r="Z250" s="129"/>
      <c r="AA250" s="130">
        <v>250</v>
      </c>
      <c r="AB250" s="130" t="b">
        <f xml:space="preserve"> IF(AND(OR(NOT(ISNUMBER(Vertices[Size])), Vertices[Size] &gt;= Misc!$O$6), OR(NOT(ISNUMBER(Vertices[Size])), Vertices[Size] &lt;= Misc!$P$6),OR(NOT(ISNUMBER(Vertices[X])), Vertices[X] &gt;= Misc!$O$7), OR(NOT(ISNUMBER(Vertices[X])), Vertices[X] &lt;= Misc!$P$7),OR(NOT(ISNUMBER(Vertices[Y])), Vertices[Y] &gt;= Misc!$O$8), OR(NOT(ISNUMBER(Vertices[Y])), Vertices[Y] &lt;= Misc!$P$8),OR(NOT(ISNUMBER(Vertices[Degree])), Vertices[Degree] &gt;= Misc!$O$9), OR(NOT(ISNUMBER(Vertices[Degree])), Vertices[Degree] &lt;= Misc!$P$9),OR(NOT(ISNUMBER(Vertices[Betweenness Centrality])), Vertices[Betweenness Centrality] &gt;= Misc!$O$10), OR(NOT(ISNUMBER(Vertices[Betweenness Centrality])), Vertices[Betweenness Centrality] &lt;= Misc!$P$10),OR(NOT(ISNUMBER(Vertices[Closeness Centrality])), Vertices[Closeness Centrality] &gt;= Misc!$O$11), OR(NOT(ISNUMBER(Vertices[Closeness Centrality])), Vertices[Closeness Centrality] &lt;= Misc!$P$11),OR(NOT(ISNUMBER(Vertices[Eigenvector Centrality])), Vertices[Eigenvector Centrality] &gt;= Misc!$O$12), OR(NOT(ISNUMBER(Vertices[Eigenvector Centrality])), Vertices[Eigenvector Centrality] &lt;= Misc!$P$12),OR(NOT(ISNUMBER(Vertices[PageRank])), Vertices[PageRank] &gt;= Misc!$O$13), OR(NOT(ISNUMBER(Vertices[PageRank])), Vertices[PageRank] &lt;= Misc!$P$13),OR(NOT(ISNUMBER(Vertices[Clustering Coefficient])), Vertices[Clustering Coefficient] &gt;= Misc!$O$14), OR(NOT(ISNUMBER(Vertices[Clustering Coefficient])), Vertices[Clustering Coefficient] &lt;= Misc!$P$14),TRUE), TRUE, FALSE)</f>
        <v>1</v>
      </c>
      <c r="AC250" s="131"/>
      <c r="AD250" s="145" t="str">
        <f>REPLACE(INDEX(GroupVertices[Group], MATCH(Vertices[[#This Row],[Vertex]],GroupVertices[Vertex],0)),1,1,"")</f>
        <v>1</v>
      </c>
    </row>
  </sheetData>
  <dataConsolidate/>
  <dataValidations count="20">
    <dataValidation allowBlank="1" errorTitle="Invalid Vertex Visibility" error="You have entered an unrecognized vertex visibility.  Try selecting from the drop-down list instead." sqref="AE3" xr:uid="{00000000-0002-0000-0100-000000000000}"/>
    <dataValidation allowBlank="1" showErrorMessage="1" sqref="AE2" xr:uid="{00000000-0002-0000-0100-00000100000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50"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50"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50"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50"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50"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50" xr:uid="{00000000-0002-0000-0100-000007000000}"/>
    <dataValidation allowBlank="1" showInputMessage="1" errorTitle="Invalid Vertex Image Key" promptTitle="Vertex Tooltip" prompt="Enter optional text that will pop up when the mouse is hovered over the vertex." sqref="K3:K250"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50"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50"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50" xr:uid="{00000000-0002-0000-0100-00000B000000}"/>
    <dataValidation allowBlank="1" showInputMessage="1" promptTitle="Vertex Label Fill Color" prompt="To select an optional fill color for the Label shape, right-click and select Select Color on the right-click menu." sqref="I3:I250" xr:uid="{00000000-0002-0000-0100-00000C000000}"/>
    <dataValidation allowBlank="1" showInputMessage="1" errorTitle="Invalid Vertex Image Key" promptTitle="Vertex Image File" prompt="Enter the path to an image file.  Hover over the column header for examples." sqref="F3:F250" xr:uid="{00000000-0002-0000-0100-00000D000000}"/>
    <dataValidation allowBlank="1" showInputMessage="1" promptTitle="Vertex Color" prompt="To select an optional vertex color, right-click and select Select Color on the right-click menu." sqref="B3:B250"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250"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250"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50"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50" xr:uid="{00000000-0002-0000-0100-000012000000}">
      <formula1>ValidVertexLabelPositions</formula1>
    </dataValidation>
    <dataValidation allowBlank="1" showInputMessage="1" showErrorMessage="1" promptTitle="Vertex Name" prompt="Enter the name of the vertex." sqref="A3:A250" xr:uid="{00000000-0002-0000-0100-000013000000}"/>
  </dataValidations>
  <pageMargins left="0.7" right="0.7" top="0.75" bottom="0.75" header="0.3" footer="0.3"/>
  <pageSetup orientation="portrait" horizontalDpi="1200" verticalDpi="12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baseColWidth="10" defaultColWidth="8.88671875"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12" t="s">
        <v>51</v>
      </c>
    </row>
    <row r="21" spans="4:4" x14ac:dyDescent="0.3">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61"/>
  <sheetViews>
    <sheetView workbookViewId="0">
      <pane ySplit="2" topLeftCell="A3" activePane="bottomLeft" state="frozen"/>
      <selection pane="bottomLeft" activeCell="A2" sqref="A2:X2"/>
    </sheetView>
  </sheetViews>
  <sheetFormatPr baseColWidth="10" defaultColWidth="8.88671875"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customWidth="1"/>
    <col min="12" max="12" width="9.6640625" customWidth="1"/>
    <col min="13" max="13" width="13.109375" customWidth="1"/>
    <col min="14" max="15" width="8.44140625" customWidth="1"/>
    <col min="16" max="16" width="18.33203125" customWidth="1"/>
    <col min="17" max="17" width="14.88671875" customWidth="1"/>
    <col min="18" max="18" width="14.5546875" customWidth="1"/>
    <col min="19" max="21" width="24.109375" customWidth="1"/>
    <col min="22" max="22" width="21.33203125" customWidth="1"/>
    <col min="23" max="23" width="19.33203125" customWidth="1"/>
    <col min="24" max="24" width="10" customWidth="1"/>
    <col min="25" max="25" width="13" customWidth="1"/>
  </cols>
  <sheetData>
    <row r="1" spans="1:24" x14ac:dyDescent="0.3">
      <c r="B1" s="31" t="s">
        <v>40</v>
      </c>
      <c r="C1" s="32"/>
      <c r="D1" s="32"/>
      <c r="E1" s="33"/>
      <c r="F1" s="30" t="s">
        <v>44</v>
      </c>
      <c r="G1" s="34" t="s">
        <v>45</v>
      </c>
      <c r="H1" s="35"/>
      <c r="I1" s="36" t="s">
        <v>41</v>
      </c>
      <c r="J1" s="37"/>
      <c r="K1" s="38" t="s">
        <v>43</v>
      </c>
      <c r="L1" s="39"/>
      <c r="M1" s="39"/>
      <c r="N1" s="39"/>
      <c r="O1" s="39"/>
      <c r="P1" s="39"/>
      <c r="Q1" s="39"/>
      <c r="R1" s="39"/>
      <c r="S1" s="39"/>
      <c r="T1" s="39"/>
      <c r="U1" s="39"/>
      <c r="V1" s="39"/>
      <c r="W1" s="39"/>
      <c r="X1" s="39"/>
    </row>
    <row r="2" spans="1:24" s="10" customFormat="1" ht="30" customHeight="1" x14ac:dyDescent="0.3">
      <c r="A2" s="8" t="s">
        <v>144</v>
      </c>
      <c r="B2" s="10" t="s">
        <v>21</v>
      </c>
      <c r="C2" s="10" t="s">
        <v>20</v>
      </c>
      <c r="D2" s="10" t="s">
        <v>11</v>
      </c>
      <c r="E2" s="10" t="s">
        <v>145</v>
      </c>
      <c r="F2" s="10" t="s">
        <v>47</v>
      </c>
      <c r="G2" s="10" t="s">
        <v>167</v>
      </c>
      <c r="H2" s="10" t="s">
        <v>168</v>
      </c>
      <c r="I2" s="10" t="s">
        <v>12</v>
      </c>
      <c r="J2" s="10" t="s">
        <v>166</v>
      </c>
      <c r="K2" s="10" t="s">
        <v>146</v>
      </c>
      <c r="L2" s="10" t="s">
        <v>148</v>
      </c>
      <c r="M2" s="10" t="s">
        <v>149</v>
      </c>
      <c r="N2" s="10" t="s">
        <v>150</v>
      </c>
      <c r="O2" s="10" t="s">
        <v>151</v>
      </c>
      <c r="P2" s="10" t="s">
        <v>170</v>
      </c>
      <c r="Q2" s="10" t="s">
        <v>171</v>
      </c>
      <c r="R2" s="10" t="s">
        <v>152</v>
      </c>
      <c r="S2" s="10" t="s">
        <v>153</v>
      </c>
      <c r="T2" s="10" t="s">
        <v>154</v>
      </c>
      <c r="U2" s="10" t="s">
        <v>155</v>
      </c>
      <c r="V2" s="10" t="s">
        <v>156</v>
      </c>
      <c r="W2" s="10" t="s">
        <v>157</v>
      </c>
      <c r="X2" s="10" t="s">
        <v>158</v>
      </c>
    </row>
    <row r="3" spans="1:24" x14ac:dyDescent="0.3">
      <c r="A3" s="154" t="s">
        <v>754</v>
      </c>
      <c r="B3" s="149" t="s">
        <v>765</v>
      </c>
      <c r="C3" s="149" t="s">
        <v>57</v>
      </c>
      <c r="D3" s="155"/>
      <c r="E3" s="156"/>
      <c r="F3" s="157"/>
      <c r="G3" s="158"/>
      <c r="H3" s="158"/>
      <c r="I3" s="159">
        <v>3</v>
      </c>
      <c r="J3" s="160"/>
      <c r="K3" s="147"/>
      <c r="L3" s="147"/>
      <c r="M3" s="147"/>
      <c r="N3" s="147"/>
      <c r="O3" s="147"/>
      <c r="P3" s="148"/>
      <c r="Q3" s="148"/>
      <c r="R3" s="147"/>
      <c r="S3" s="147"/>
      <c r="T3" s="147"/>
      <c r="U3" s="147"/>
      <c r="V3" s="147"/>
      <c r="W3" s="148"/>
      <c r="X3" s="148"/>
    </row>
    <row r="4" spans="1:24" x14ac:dyDescent="0.3">
      <c r="A4" s="154" t="s">
        <v>755</v>
      </c>
      <c r="B4" s="149" t="s">
        <v>766</v>
      </c>
      <c r="C4" s="149" t="s">
        <v>57</v>
      </c>
      <c r="D4" s="164"/>
      <c r="E4" s="165"/>
      <c r="F4" s="166"/>
      <c r="G4" s="167"/>
      <c r="H4" s="167"/>
      <c r="I4" s="168">
        <v>4</v>
      </c>
      <c r="J4" s="169"/>
      <c r="K4" s="170"/>
      <c r="L4" s="170"/>
      <c r="M4" s="170"/>
      <c r="N4" s="170"/>
      <c r="O4" s="170"/>
      <c r="P4" s="171"/>
      <c r="Q4" s="171"/>
      <c r="R4" s="170"/>
      <c r="S4" s="170"/>
      <c r="T4" s="170"/>
      <c r="U4" s="170"/>
      <c r="V4" s="170"/>
      <c r="W4" s="171"/>
      <c r="X4" s="171"/>
    </row>
    <row r="5" spans="1:24" x14ac:dyDescent="0.3">
      <c r="A5" s="154" t="s">
        <v>756</v>
      </c>
      <c r="B5" s="149" t="s">
        <v>767</v>
      </c>
      <c r="C5" s="149" t="s">
        <v>57</v>
      </c>
      <c r="D5" s="164"/>
      <c r="E5" s="165"/>
      <c r="F5" s="166"/>
      <c r="G5" s="167"/>
      <c r="H5" s="167"/>
      <c r="I5" s="168">
        <v>5</v>
      </c>
      <c r="J5" s="169"/>
      <c r="K5" s="170"/>
      <c r="L5" s="170"/>
      <c r="M5" s="170"/>
      <c r="N5" s="170"/>
      <c r="O5" s="170"/>
      <c r="P5" s="171"/>
      <c r="Q5" s="171"/>
      <c r="R5" s="170"/>
      <c r="S5" s="170"/>
      <c r="T5" s="170"/>
      <c r="U5" s="170"/>
      <c r="V5" s="170"/>
      <c r="W5" s="171"/>
      <c r="X5" s="171"/>
    </row>
    <row r="6" spans="1:24" x14ac:dyDescent="0.3">
      <c r="A6" s="154" t="s">
        <v>757</v>
      </c>
      <c r="B6" s="149" t="s">
        <v>768</v>
      </c>
      <c r="C6" s="149" t="s">
        <v>57</v>
      </c>
      <c r="D6" s="164"/>
      <c r="E6" s="165"/>
      <c r="F6" s="166"/>
      <c r="G6" s="167"/>
      <c r="H6" s="167"/>
      <c r="I6" s="168">
        <v>6</v>
      </c>
      <c r="J6" s="169"/>
      <c r="K6" s="170"/>
      <c r="L6" s="170"/>
      <c r="M6" s="170"/>
      <c r="N6" s="170"/>
      <c r="O6" s="170"/>
      <c r="P6" s="171"/>
      <c r="Q6" s="171"/>
      <c r="R6" s="170"/>
      <c r="S6" s="170"/>
      <c r="T6" s="170"/>
      <c r="U6" s="170"/>
      <c r="V6" s="170"/>
      <c r="W6" s="171"/>
      <c r="X6" s="171"/>
    </row>
    <row r="7" spans="1:24" x14ac:dyDescent="0.3">
      <c r="A7" s="154" t="s">
        <v>758</v>
      </c>
      <c r="B7" s="149" t="s">
        <v>769</v>
      </c>
      <c r="C7" s="149" t="s">
        <v>57</v>
      </c>
      <c r="D7" s="164"/>
      <c r="E7" s="165"/>
      <c r="F7" s="166"/>
      <c r="G7" s="167"/>
      <c r="H7" s="167"/>
      <c r="I7" s="168">
        <v>7</v>
      </c>
      <c r="J7" s="169"/>
      <c r="K7" s="170"/>
      <c r="L7" s="170"/>
      <c r="M7" s="170"/>
      <c r="N7" s="170"/>
      <c r="O7" s="170"/>
      <c r="P7" s="171"/>
      <c r="Q7" s="171"/>
      <c r="R7" s="170"/>
      <c r="S7" s="170"/>
      <c r="T7" s="170"/>
      <c r="U7" s="170"/>
      <c r="V7" s="170"/>
      <c r="W7" s="171"/>
      <c r="X7" s="171"/>
    </row>
    <row r="8" spans="1:24" x14ac:dyDescent="0.3">
      <c r="A8" s="154" t="s">
        <v>759</v>
      </c>
      <c r="B8" s="149" t="s">
        <v>770</v>
      </c>
      <c r="C8" s="149" t="s">
        <v>57</v>
      </c>
      <c r="D8" s="164"/>
      <c r="E8" s="165"/>
      <c r="F8" s="166"/>
      <c r="G8" s="167"/>
      <c r="H8" s="167"/>
      <c r="I8" s="168">
        <v>8</v>
      </c>
      <c r="J8" s="169"/>
      <c r="K8" s="170"/>
      <c r="L8" s="170"/>
      <c r="M8" s="170"/>
      <c r="N8" s="170"/>
      <c r="O8" s="170"/>
      <c r="P8" s="171"/>
      <c r="Q8" s="171"/>
      <c r="R8" s="170"/>
      <c r="S8" s="170"/>
      <c r="T8" s="170"/>
      <c r="U8" s="170"/>
      <c r="V8" s="170"/>
      <c r="W8" s="171"/>
      <c r="X8" s="171"/>
    </row>
    <row r="9" spans="1:24" x14ac:dyDescent="0.3">
      <c r="A9" s="154" t="s">
        <v>760</v>
      </c>
      <c r="B9" s="149" t="s">
        <v>771</v>
      </c>
      <c r="C9" s="149" t="s">
        <v>57</v>
      </c>
      <c r="D9" s="164"/>
      <c r="E9" s="165"/>
      <c r="F9" s="166"/>
      <c r="G9" s="167"/>
      <c r="H9" s="167"/>
      <c r="I9" s="168">
        <v>9</v>
      </c>
      <c r="J9" s="169"/>
      <c r="K9" s="170"/>
      <c r="L9" s="170"/>
      <c r="M9" s="170"/>
      <c r="N9" s="170"/>
      <c r="O9" s="170"/>
      <c r="P9" s="171"/>
      <c r="Q9" s="171"/>
      <c r="R9" s="170"/>
      <c r="S9" s="170"/>
      <c r="T9" s="170"/>
      <c r="U9" s="170"/>
      <c r="V9" s="170"/>
      <c r="W9" s="171"/>
      <c r="X9" s="171"/>
    </row>
    <row r="10" spans="1:24" ht="14.25" customHeight="1" x14ac:dyDescent="0.3">
      <c r="A10" s="154" t="s">
        <v>761</v>
      </c>
      <c r="B10" s="149" t="s">
        <v>772</v>
      </c>
      <c r="C10" s="149" t="s">
        <v>57</v>
      </c>
      <c r="D10" s="164"/>
      <c r="E10" s="165"/>
      <c r="F10" s="166"/>
      <c r="G10" s="167"/>
      <c r="H10" s="167"/>
      <c r="I10" s="168">
        <v>10</v>
      </c>
      <c r="J10" s="169"/>
      <c r="K10" s="170"/>
      <c r="L10" s="170"/>
      <c r="M10" s="170"/>
      <c r="N10" s="170"/>
      <c r="O10" s="170"/>
      <c r="P10" s="171"/>
      <c r="Q10" s="171"/>
      <c r="R10" s="170"/>
      <c r="S10" s="170"/>
      <c r="T10" s="170"/>
      <c r="U10" s="170"/>
      <c r="V10" s="170"/>
      <c r="W10" s="171"/>
      <c r="X10" s="171"/>
    </row>
    <row r="11" spans="1:24" x14ac:dyDescent="0.3">
      <c r="A11" s="154" t="s">
        <v>762</v>
      </c>
      <c r="B11" s="149" t="s">
        <v>773</v>
      </c>
      <c r="C11" s="149" t="s">
        <v>57</v>
      </c>
      <c r="D11" s="164"/>
      <c r="E11" s="165"/>
      <c r="F11" s="166"/>
      <c r="G11" s="167"/>
      <c r="H11" s="167"/>
      <c r="I11" s="168">
        <v>11</v>
      </c>
      <c r="J11" s="169"/>
      <c r="K11" s="170"/>
      <c r="L11" s="170"/>
      <c r="M11" s="170"/>
      <c r="N11" s="170"/>
      <c r="O11" s="170"/>
      <c r="P11" s="171"/>
      <c r="Q11" s="171"/>
      <c r="R11" s="170"/>
      <c r="S11" s="170"/>
      <c r="T11" s="170"/>
      <c r="U11" s="170"/>
      <c r="V11" s="170"/>
      <c r="W11" s="171"/>
      <c r="X11" s="171"/>
    </row>
    <row r="12" spans="1:24" x14ac:dyDescent="0.3">
      <c r="A12" s="154" t="s">
        <v>763</v>
      </c>
      <c r="B12" s="149" t="s">
        <v>774</v>
      </c>
      <c r="C12" s="149" t="s">
        <v>57</v>
      </c>
      <c r="D12" s="164"/>
      <c r="E12" s="165"/>
      <c r="F12" s="166"/>
      <c r="G12" s="167"/>
      <c r="H12" s="167"/>
      <c r="I12" s="168">
        <v>12</v>
      </c>
      <c r="J12" s="169"/>
      <c r="K12" s="170"/>
      <c r="L12" s="170"/>
      <c r="M12" s="170"/>
      <c r="N12" s="170"/>
      <c r="O12" s="170"/>
      <c r="P12" s="171"/>
      <c r="Q12" s="171"/>
      <c r="R12" s="170"/>
      <c r="S12" s="170"/>
      <c r="T12" s="170"/>
      <c r="U12" s="170"/>
      <c r="V12" s="170"/>
      <c r="W12" s="171"/>
      <c r="X12" s="171"/>
    </row>
    <row r="13" spans="1:24" x14ac:dyDescent="0.3">
      <c r="A13" s="154" t="s">
        <v>764</v>
      </c>
      <c r="B13" s="149" t="s">
        <v>788</v>
      </c>
      <c r="C13" s="149" t="s">
        <v>57</v>
      </c>
      <c r="D13" s="164"/>
      <c r="E13" s="165"/>
      <c r="F13" s="166"/>
      <c r="G13" s="167"/>
      <c r="H13" s="167"/>
      <c r="I13" s="168">
        <v>13</v>
      </c>
      <c r="J13" s="169"/>
      <c r="K13" s="170"/>
      <c r="L13" s="170"/>
      <c r="M13" s="170"/>
      <c r="N13" s="170"/>
      <c r="O13" s="170"/>
      <c r="P13" s="171"/>
      <c r="Q13" s="171"/>
      <c r="R13" s="170"/>
      <c r="S13" s="170"/>
      <c r="T13" s="170"/>
      <c r="U13" s="170"/>
      <c r="V13" s="170"/>
      <c r="W13" s="171"/>
      <c r="X13" s="171"/>
    </row>
    <row r="14" spans="1:24" x14ac:dyDescent="0.3">
      <c r="A14" s="154" t="s">
        <v>787</v>
      </c>
      <c r="B14" s="149" t="s">
        <v>789</v>
      </c>
      <c r="C14" s="149" t="s">
        <v>57</v>
      </c>
      <c r="D14" s="164"/>
      <c r="E14" s="165"/>
      <c r="F14" s="166"/>
      <c r="G14" s="167"/>
      <c r="H14" s="167"/>
      <c r="I14" s="168">
        <v>14</v>
      </c>
      <c r="J14" s="169"/>
      <c r="K14" s="170"/>
      <c r="L14" s="170"/>
      <c r="M14" s="170"/>
      <c r="N14" s="170"/>
      <c r="O14" s="170"/>
      <c r="P14" s="171"/>
      <c r="Q14" s="171"/>
      <c r="R14" s="170"/>
      <c r="S14" s="170"/>
      <c r="T14" s="170"/>
      <c r="U14" s="170"/>
      <c r="V14" s="170"/>
      <c r="W14" s="171"/>
      <c r="X14" s="171"/>
    </row>
    <row r="15" spans="1:24" x14ac:dyDescent="0.3">
      <c r="A15"/>
    </row>
    <row r="16" spans="1:24" x14ac:dyDescent="0.3">
      <c r="A16"/>
    </row>
    <row r="17" spans="1:1" x14ac:dyDescent="0.3">
      <c r="A17"/>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row r="27" spans="1:1" x14ac:dyDescent="0.3">
      <c r="A27"/>
    </row>
    <row r="28" spans="1:1" x14ac:dyDescent="0.3">
      <c r="A28"/>
    </row>
    <row r="29" spans="1:1" x14ac:dyDescent="0.3">
      <c r="A29"/>
    </row>
    <row r="30" spans="1:1" x14ac:dyDescent="0.3">
      <c r="A30"/>
    </row>
    <row r="31" spans="1:1" x14ac:dyDescent="0.3">
      <c r="A31"/>
    </row>
    <row r="32" spans="1:1"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sheetData>
  <dataConsolidate/>
  <dataValidations count="8">
    <dataValidation allowBlank="1" showInputMessage="1" promptTitle="Group Vertex Color" prompt="To select a color to use for all vertices in the group, right-click and select Select Color on the right-click menu." sqref="B162:B204 B23:B61 B3:B14"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162:C204 C23:C61 C3:C14" xr:uid="{00000000-0002-0000-0300-000001000000}">
      <formula1>ValidGroupShapes</formula1>
    </dataValidation>
    <dataValidation allowBlank="1" showInputMessage="1" showErrorMessage="1" promptTitle="Group Name" prompt="Enter the name of the group." sqref="A162:A204 A23:A61 A3:A14"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E14" xr:uid="{00000000-0002-0000-0300-000003000000}">
      <formula1>ValidBooleansDefaultFalse</formula1>
    </dataValidation>
    <dataValidation allowBlank="1" sqref="K3:K14"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F14"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14"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D14" xr:uid="{00000000-0002-0000-0300-000007000000}">
      <formula1>ValidGroupVisibilities</formula1>
    </dataValidation>
  </dataValidations>
  <pageMargins left="0.7" right="0.7" top="0.75" bottom="0.75" header="0.3" footer="0.3"/>
  <pageSetup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48"/>
  <sheetViews>
    <sheetView workbookViewId="0">
      <selection activeCell="B16" sqref="B16"/>
    </sheetView>
  </sheetViews>
  <sheetFormatPr baseColWidth="10" defaultColWidth="8.88671875" defaultRowHeight="14.4" x14ac:dyDescent="0.3"/>
  <cols>
    <col min="1" max="1" width="9.44140625" style="1" bestFit="1" customWidth="1"/>
    <col min="2" max="2" width="9.109375" style="1"/>
    <col min="3" max="3" width="11.5546875" bestFit="1" customWidth="1"/>
    <col min="4" max="4" width="9.109375" customWidth="1"/>
  </cols>
  <sheetData>
    <row r="1" spans="1:3" ht="14.4" customHeight="1" x14ac:dyDescent="0.3">
      <c r="A1" s="8" t="s">
        <v>144</v>
      </c>
      <c r="B1" s="8" t="s">
        <v>5</v>
      </c>
      <c r="C1" s="8" t="s">
        <v>147</v>
      </c>
    </row>
    <row r="2" spans="1:3" x14ac:dyDescent="0.3">
      <c r="A2" s="145" t="s">
        <v>754</v>
      </c>
      <c r="B2" s="150" t="s">
        <v>245</v>
      </c>
      <c r="C2" s="145">
        <f>VLOOKUP(GroupVertices[[#This Row],[Vertex]], Vertices[], MATCH("ID", Vertices[#Headers], 0), FALSE)</f>
        <v>141</v>
      </c>
    </row>
    <row r="3" spans="1:3" x14ac:dyDescent="0.3">
      <c r="A3" s="145" t="s">
        <v>754</v>
      </c>
      <c r="B3" s="150" t="s">
        <v>185</v>
      </c>
      <c r="C3" s="145">
        <f>VLOOKUP(GroupVertices[[#This Row],[Vertex]], Vertices[], MATCH("ID", Vertices[#Headers], 0), FALSE)</f>
        <v>51</v>
      </c>
    </row>
    <row r="4" spans="1:3" x14ac:dyDescent="0.3">
      <c r="A4" s="145" t="s">
        <v>754</v>
      </c>
      <c r="B4" s="150" t="s">
        <v>250</v>
      </c>
      <c r="C4" s="145">
        <f>VLOOKUP(GroupVertices[[#This Row],[Vertex]], Vertices[], MATCH("ID", Vertices[#Headers], 0), FALSE)</f>
        <v>57</v>
      </c>
    </row>
    <row r="5" spans="1:3" x14ac:dyDescent="0.3">
      <c r="A5" s="145" t="s">
        <v>754</v>
      </c>
      <c r="B5" s="150" t="s">
        <v>588</v>
      </c>
      <c r="C5" s="145">
        <f>VLOOKUP(GroupVertices[[#This Row],[Vertex]], Vertices[], MATCH("ID", Vertices[#Headers], 0), FALSE)</f>
        <v>12</v>
      </c>
    </row>
    <row r="6" spans="1:3" x14ac:dyDescent="0.3">
      <c r="A6" s="145" t="s">
        <v>754</v>
      </c>
      <c r="B6" s="150" t="s">
        <v>592</v>
      </c>
      <c r="C6" s="145">
        <f>VLOOKUP(GroupVertices[[#This Row],[Vertex]], Vertices[], MATCH("ID", Vertices[#Headers], 0), FALSE)</f>
        <v>91</v>
      </c>
    </row>
    <row r="7" spans="1:3" x14ac:dyDescent="0.3">
      <c r="A7" s="145" t="s">
        <v>754</v>
      </c>
      <c r="B7" s="150" t="s">
        <v>591</v>
      </c>
      <c r="C7" s="145">
        <f>VLOOKUP(GroupVertices[[#This Row],[Vertex]], Vertices[], MATCH("ID", Vertices[#Headers], 0), FALSE)</f>
        <v>248</v>
      </c>
    </row>
    <row r="8" spans="1:3" x14ac:dyDescent="0.3">
      <c r="A8" s="145" t="s">
        <v>754</v>
      </c>
      <c r="B8" s="150" t="s">
        <v>590</v>
      </c>
      <c r="C8" s="145">
        <f>VLOOKUP(GroupVertices[[#This Row],[Vertex]], Vertices[], MATCH("ID", Vertices[#Headers], 0), FALSE)</f>
        <v>75</v>
      </c>
    </row>
    <row r="9" spans="1:3" x14ac:dyDescent="0.3">
      <c r="A9" s="145" t="s">
        <v>754</v>
      </c>
      <c r="B9" s="150" t="s">
        <v>589</v>
      </c>
      <c r="C9" s="145">
        <f>VLOOKUP(GroupVertices[[#This Row],[Vertex]], Vertices[], MATCH("ID", Vertices[#Headers], 0), FALSE)</f>
        <v>245</v>
      </c>
    </row>
    <row r="10" spans="1:3" x14ac:dyDescent="0.3">
      <c r="A10" s="145" t="s">
        <v>754</v>
      </c>
      <c r="B10" s="150" t="s">
        <v>207</v>
      </c>
      <c r="C10" s="145">
        <f>VLOOKUP(GroupVertices[[#This Row],[Vertex]], Vertices[], MATCH("ID", Vertices[#Headers], 0), FALSE)</f>
        <v>234</v>
      </c>
    </row>
    <row r="11" spans="1:3" x14ac:dyDescent="0.3">
      <c r="A11" s="145" t="s">
        <v>754</v>
      </c>
      <c r="B11" s="150" t="s">
        <v>253</v>
      </c>
      <c r="C11" s="145">
        <f>VLOOKUP(GroupVertices[[#This Row],[Vertex]], Vertices[], MATCH("ID", Vertices[#Headers], 0), FALSE)</f>
        <v>230</v>
      </c>
    </row>
    <row r="12" spans="1:3" x14ac:dyDescent="0.3">
      <c r="A12" s="145" t="s">
        <v>754</v>
      </c>
      <c r="B12" s="150" t="s">
        <v>584</v>
      </c>
      <c r="C12" s="145">
        <f>VLOOKUP(GroupVertices[[#This Row],[Vertex]], Vertices[], MATCH("ID", Vertices[#Headers], 0), FALSE)</f>
        <v>10</v>
      </c>
    </row>
    <row r="13" spans="1:3" x14ac:dyDescent="0.3">
      <c r="A13" s="145" t="s">
        <v>754</v>
      </c>
      <c r="B13" s="150" t="s">
        <v>251</v>
      </c>
      <c r="C13" s="145">
        <f>VLOOKUP(GroupVertices[[#This Row],[Vertex]], Vertices[], MATCH("ID", Vertices[#Headers], 0), FALSE)</f>
        <v>121</v>
      </c>
    </row>
    <row r="14" spans="1:3" x14ac:dyDescent="0.3">
      <c r="A14" s="145" t="s">
        <v>754</v>
      </c>
      <c r="B14" s="150" t="s">
        <v>186</v>
      </c>
      <c r="C14" s="145">
        <f>VLOOKUP(GroupVertices[[#This Row],[Vertex]], Vertices[], MATCH("ID", Vertices[#Headers], 0), FALSE)</f>
        <v>106</v>
      </c>
    </row>
    <row r="15" spans="1:3" x14ac:dyDescent="0.3">
      <c r="A15" s="145" t="s">
        <v>754</v>
      </c>
      <c r="B15" s="150" t="s">
        <v>583</v>
      </c>
      <c r="C15" s="145">
        <f>VLOOKUP(GroupVertices[[#This Row],[Vertex]], Vertices[], MATCH("ID", Vertices[#Headers], 0), FALSE)</f>
        <v>9</v>
      </c>
    </row>
    <row r="16" spans="1:3" x14ac:dyDescent="0.3">
      <c r="A16" s="145" t="s">
        <v>754</v>
      </c>
      <c r="B16" s="150" t="s">
        <v>569</v>
      </c>
      <c r="C16" s="145">
        <f>VLOOKUP(GroupVertices[[#This Row],[Vertex]], Vertices[], MATCH("ID", Vertices[#Headers], 0), FALSE)</f>
        <v>140</v>
      </c>
    </row>
    <row r="17" spans="1:3" x14ac:dyDescent="0.3">
      <c r="A17" s="145" t="s">
        <v>754</v>
      </c>
      <c r="B17" s="150" t="s">
        <v>579</v>
      </c>
      <c r="C17" s="145">
        <f>VLOOKUP(GroupVertices[[#This Row],[Vertex]], Vertices[], MATCH("ID", Vertices[#Headers], 0), FALSE)</f>
        <v>66</v>
      </c>
    </row>
    <row r="18" spans="1:3" x14ac:dyDescent="0.3">
      <c r="A18" s="145" t="s">
        <v>754</v>
      </c>
      <c r="B18" s="150" t="s">
        <v>578</v>
      </c>
      <c r="C18" s="145">
        <f>VLOOKUP(GroupVertices[[#This Row],[Vertex]], Vertices[], MATCH("ID", Vertices[#Headers], 0), FALSE)</f>
        <v>67</v>
      </c>
    </row>
    <row r="19" spans="1:3" x14ac:dyDescent="0.3">
      <c r="A19" s="145" t="s">
        <v>754</v>
      </c>
      <c r="B19" s="150" t="s">
        <v>577</v>
      </c>
      <c r="C19" s="145">
        <f>VLOOKUP(GroupVertices[[#This Row],[Vertex]], Vertices[], MATCH("ID", Vertices[#Headers], 0), FALSE)</f>
        <v>68</v>
      </c>
    </row>
    <row r="20" spans="1:3" x14ac:dyDescent="0.3">
      <c r="A20" s="145" t="s">
        <v>754</v>
      </c>
      <c r="B20" s="150" t="s">
        <v>576</v>
      </c>
      <c r="C20" s="145">
        <f>VLOOKUP(GroupVertices[[#This Row],[Vertex]], Vertices[], MATCH("ID", Vertices[#Headers], 0), FALSE)</f>
        <v>69</v>
      </c>
    </row>
    <row r="21" spans="1:3" x14ac:dyDescent="0.3">
      <c r="A21" s="145" t="s">
        <v>754</v>
      </c>
      <c r="B21" s="150" t="s">
        <v>575</v>
      </c>
      <c r="C21" s="145">
        <f>VLOOKUP(GroupVertices[[#This Row],[Vertex]], Vertices[], MATCH("ID", Vertices[#Headers], 0), FALSE)</f>
        <v>32</v>
      </c>
    </row>
    <row r="22" spans="1:3" x14ac:dyDescent="0.3">
      <c r="A22" s="145" t="s">
        <v>754</v>
      </c>
      <c r="B22" s="150" t="s">
        <v>785</v>
      </c>
      <c r="C22" s="145">
        <f>VLOOKUP(GroupVertices[[#This Row],[Vertex]], Vertices[], MATCH("ID", Vertices[#Headers], 0), FALSE)</f>
        <v>250</v>
      </c>
    </row>
    <row r="23" spans="1:3" x14ac:dyDescent="0.3">
      <c r="A23" s="145" t="s">
        <v>754</v>
      </c>
      <c r="B23" s="150" t="s">
        <v>249</v>
      </c>
      <c r="C23" s="145">
        <f>VLOOKUP(GroupVertices[[#This Row],[Vertex]], Vertices[], MATCH("ID", Vertices[#Headers], 0), FALSE)</f>
        <v>107</v>
      </c>
    </row>
    <row r="24" spans="1:3" x14ac:dyDescent="0.3">
      <c r="A24" s="145" t="s">
        <v>754</v>
      </c>
      <c r="B24" s="150" t="s">
        <v>248</v>
      </c>
      <c r="C24" s="145">
        <f>VLOOKUP(GroupVertices[[#This Row],[Vertex]], Vertices[], MATCH("ID", Vertices[#Headers], 0), FALSE)</f>
        <v>46</v>
      </c>
    </row>
    <row r="25" spans="1:3" x14ac:dyDescent="0.3">
      <c r="A25" s="145" t="s">
        <v>754</v>
      </c>
      <c r="B25" s="150" t="s">
        <v>247</v>
      </c>
      <c r="C25" s="145">
        <f>VLOOKUP(GroupVertices[[#This Row],[Vertex]], Vertices[], MATCH("ID", Vertices[#Headers], 0), FALSE)</f>
        <v>113</v>
      </c>
    </row>
    <row r="26" spans="1:3" x14ac:dyDescent="0.3">
      <c r="A26" s="145" t="s">
        <v>754</v>
      </c>
      <c r="B26" s="150" t="s">
        <v>352</v>
      </c>
      <c r="C26" s="145">
        <f>VLOOKUP(GroupVertices[[#This Row],[Vertex]], Vertices[], MATCH("ID", Vertices[#Headers], 0), FALSE)</f>
        <v>5</v>
      </c>
    </row>
    <row r="27" spans="1:3" x14ac:dyDescent="0.3">
      <c r="A27" s="145" t="s">
        <v>754</v>
      </c>
      <c r="B27" s="150" t="s">
        <v>349</v>
      </c>
      <c r="C27" s="145">
        <f>VLOOKUP(GroupVertices[[#This Row],[Vertex]], Vertices[], MATCH("ID", Vertices[#Headers], 0), FALSE)</f>
        <v>231</v>
      </c>
    </row>
    <row r="28" spans="1:3" x14ac:dyDescent="0.3">
      <c r="A28" s="145" t="s">
        <v>754</v>
      </c>
      <c r="B28" s="150" t="s">
        <v>356</v>
      </c>
      <c r="C28" s="145">
        <f>VLOOKUP(GroupVertices[[#This Row],[Vertex]], Vertices[], MATCH("ID", Vertices[#Headers], 0), FALSE)</f>
        <v>112</v>
      </c>
    </row>
    <row r="29" spans="1:3" x14ac:dyDescent="0.3">
      <c r="A29" s="145" t="s">
        <v>754</v>
      </c>
      <c r="B29" s="150" t="s">
        <v>355</v>
      </c>
      <c r="C29" s="145">
        <f>VLOOKUP(GroupVertices[[#This Row],[Vertex]], Vertices[], MATCH("ID", Vertices[#Headers], 0), FALSE)</f>
        <v>28</v>
      </c>
    </row>
    <row r="30" spans="1:3" x14ac:dyDescent="0.3">
      <c r="A30" s="145" t="s">
        <v>754</v>
      </c>
      <c r="B30" s="150" t="s">
        <v>354</v>
      </c>
      <c r="C30" s="145">
        <f>VLOOKUP(GroupVertices[[#This Row],[Vertex]], Vertices[], MATCH("ID", Vertices[#Headers], 0), FALSE)</f>
        <v>131</v>
      </c>
    </row>
    <row r="31" spans="1:3" x14ac:dyDescent="0.3">
      <c r="A31" s="145" t="s">
        <v>754</v>
      </c>
      <c r="B31" s="150" t="s">
        <v>353</v>
      </c>
      <c r="C31" s="145">
        <f>VLOOKUP(GroupVertices[[#This Row],[Vertex]], Vertices[], MATCH("ID", Vertices[#Headers], 0), FALSE)</f>
        <v>34</v>
      </c>
    </row>
    <row r="32" spans="1:3" x14ac:dyDescent="0.3">
      <c r="A32" s="145" t="s">
        <v>754</v>
      </c>
      <c r="B32" s="150" t="s">
        <v>343</v>
      </c>
      <c r="C32" s="145">
        <f>VLOOKUP(GroupVertices[[#This Row],[Vertex]], Vertices[], MATCH("ID", Vertices[#Headers], 0), FALSE)</f>
        <v>222</v>
      </c>
    </row>
    <row r="33" spans="1:3" x14ac:dyDescent="0.3">
      <c r="A33" s="145" t="s">
        <v>754</v>
      </c>
      <c r="B33" s="150" t="s">
        <v>342</v>
      </c>
      <c r="C33" s="145">
        <f>VLOOKUP(GroupVertices[[#This Row],[Vertex]], Vertices[], MATCH("ID", Vertices[#Headers], 0), FALSE)</f>
        <v>81</v>
      </c>
    </row>
    <row r="34" spans="1:3" x14ac:dyDescent="0.3">
      <c r="A34" s="145" t="s">
        <v>754</v>
      </c>
      <c r="B34" s="150" t="s">
        <v>341</v>
      </c>
      <c r="C34" s="145">
        <f>VLOOKUP(GroupVertices[[#This Row],[Vertex]], Vertices[], MATCH("ID", Vertices[#Headers], 0), FALSE)</f>
        <v>110</v>
      </c>
    </row>
    <row r="35" spans="1:3" x14ac:dyDescent="0.3">
      <c r="A35" s="145" t="s">
        <v>754</v>
      </c>
      <c r="B35" s="150" t="s">
        <v>216</v>
      </c>
      <c r="C35" s="145">
        <f>VLOOKUP(GroupVertices[[#This Row],[Vertex]], Vertices[], MATCH("ID", Vertices[#Headers], 0), FALSE)</f>
        <v>138</v>
      </c>
    </row>
    <row r="36" spans="1:3" x14ac:dyDescent="0.3">
      <c r="A36" s="145" t="s">
        <v>754</v>
      </c>
      <c r="B36" s="150" t="s">
        <v>261</v>
      </c>
      <c r="C36" s="145">
        <f>VLOOKUP(GroupVertices[[#This Row],[Vertex]], Vertices[], MATCH("ID", Vertices[#Headers], 0), FALSE)</f>
        <v>24</v>
      </c>
    </row>
    <row r="37" spans="1:3" x14ac:dyDescent="0.3">
      <c r="A37" s="145" t="s">
        <v>754</v>
      </c>
      <c r="B37" s="150" t="s">
        <v>217</v>
      </c>
      <c r="C37" s="145">
        <f>VLOOKUP(GroupVertices[[#This Row],[Vertex]], Vertices[], MATCH("ID", Vertices[#Headers], 0), FALSE)</f>
        <v>220</v>
      </c>
    </row>
    <row r="38" spans="1:3" x14ac:dyDescent="0.3">
      <c r="A38" s="145" t="s">
        <v>755</v>
      </c>
      <c r="B38" s="150" t="s">
        <v>392</v>
      </c>
      <c r="C38" s="145">
        <f>VLOOKUP(GroupVertices[[#This Row],[Vertex]], Vertices[], MATCH("ID", Vertices[#Headers], 0), FALSE)</f>
        <v>166</v>
      </c>
    </row>
    <row r="39" spans="1:3" x14ac:dyDescent="0.3">
      <c r="A39" s="145" t="s">
        <v>755</v>
      </c>
      <c r="B39" s="150" t="s">
        <v>367</v>
      </c>
      <c r="C39" s="145">
        <f>VLOOKUP(GroupVertices[[#This Row],[Vertex]], Vertices[], MATCH("ID", Vertices[#Headers], 0), FALSE)</f>
        <v>70</v>
      </c>
    </row>
    <row r="40" spans="1:3" x14ac:dyDescent="0.3">
      <c r="A40" s="145" t="s">
        <v>755</v>
      </c>
      <c r="B40" s="150" t="s">
        <v>379</v>
      </c>
      <c r="C40" s="145">
        <f>VLOOKUP(GroupVertices[[#This Row],[Vertex]], Vertices[], MATCH("ID", Vertices[#Headers], 0), FALSE)</f>
        <v>142</v>
      </c>
    </row>
    <row r="41" spans="1:3" x14ac:dyDescent="0.3">
      <c r="A41" s="145" t="s">
        <v>755</v>
      </c>
      <c r="B41" s="150" t="s">
        <v>220</v>
      </c>
      <c r="C41" s="145">
        <f>VLOOKUP(GroupVertices[[#This Row],[Vertex]], Vertices[], MATCH("ID", Vertices[#Headers], 0), FALSE)</f>
        <v>80</v>
      </c>
    </row>
    <row r="42" spans="1:3" x14ac:dyDescent="0.3">
      <c r="A42" s="145" t="s">
        <v>755</v>
      </c>
      <c r="B42" s="150" t="s">
        <v>378</v>
      </c>
      <c r="C42" s="145">
        <f>VLOOKUP(GroupVertices[[#This Row],[Vertex]], Vertices[], MATCH("ID", Vertices[#Headers], 0), FALSE)</f>
        <v>244</v>
      </c>
    </row>
    <row r="43" spans="1:3" x14ac:dyDescent="0.3">
      <c r="A43" s="145" t="s">
        <v>755</v>
      </c>
      <c r="B43" s="150" t="s">
        <v>377</v>
      </c>
      <c r="C43" s="145">
        <f>VLOOKUP(GroupVertices[[#This Row],[Vertex]], Vertices[], MATCH("ID", Vertices[#Headers], 0), FALSE)</f>
        <v>124</v>
      </c>
    </row>
    <row r="44" spans="1:3" x14ac:dyDescent="0.3">
      <c r="A44" s="145" t="s">
        <v>755</v>
      </c>
      <c r="B44" s="150" t="s">
        <v>371</v>
      </c>
      <c r="C44" s="145">
        <f>VLOOKUP(GroupVertices[[#This Row],[Vertex]], Vertices[], MATCH("ID", Vertices[#Headers], 0), FALSE)</f>
        <v>144</v>
      </c>
    </row>
    <row r="45" spans="1:3" x14ac:dyDescent="0.3">
      <c r="A45" s="145" t="s">
        <v>755</v>
      </c>
      <c r="B45" s="150" t="s">
        <v>260</v>
      </c>
      <c r="C45" s="145">
        <f>VLOOKUP(GroupVertices[[#This Row],[Vertex]], Vertices[], MATCH("ID", Vertices[#Headers], 0), FALSE)</f>
        <v>49</v>
      </c>
    </row>
    <row r="46" spans="1:3" x14ac:dyDescent="0.3">
      <c r="A46" s="145" t="s">
        <v>755</v>
      </c>
      <c r="B46" s="150" t="s">
        <v>370</v>
      </c>
      <c r="C46" s="145">
        <f>VLOOKUP(GroupVertices[[#This Row],[Vertex]], Vertices[], MATCH("ID", Vertices[#Headers], 0), FALSE)</f>
        <v>219</v>
      </c>
    </row>
    <row r="47" spans="1:3" x14ac:dyDescent="0.3">
      <c r="A47" s="145" t="s">
        <v>755</v>
      </c>
      <c r="B47" s="150" t="s">
        <v>369</v>
      </c>
      <c r="C47" s="145">
        <f>VLOOKUP(GroupVertices[[#This Row],[Vertex]], Vertices[], MATCH("ID", Vertices[#Headers], 0), FALSE)</f>
        <v>233</v>
      </c>
    </row>
    <row r="48" spans="1:3" x14ac:dyDescent="0.3">
      <c r="A48" s="145" t="s">
        <v>755</v>
      </c>
      <c r="B48" s="150" t="s">
        <v>368</v>
      </c>
      <c r="C48" s="145">
        <f>VLOOKUP(GroupVertices[[#This Row],[Vertex]], Vertices[], MATCH("ID", Vertices[#Headers], 0), FALSE)</f>
        <v>123</v>
      </c>
    </row>
    <row r="49" spans="1:3" x14ac:dyDescent="0.3">
      <c r="A49" s="145" t="s">
        <v>755</v>
      </c>
      <c r="B49" s="150" t="s">
        <v>182</v>
      </c>
      <c r="C49" s="145">
        <f>VLOOKUP(GroupVertices[[#This Row],[Vertex]], Vertices[], MATCH("ID", Vertices[#Headers], 0), FALSE)</f>
        <v>155</v>
      </c>
    </row>
    <row r="50" spans="1:3" x14ac:dyDescent="0.3">
      <c r="A50" s="145" t="s">
        <v>755</v>
      </c>
      <c r="B50" s="150" t="s">
        <v>580</v>
      </c>
      <c r="C50" s="145">
        <f>VLOOKUP(GroupVertices[[#This Row],[Vertex]], Vertices[], MATCH("ID", Vertices[#Headers], 0), FALSE)</f>
        <v>8</v>
      </c>
    </row>
    <row r="51" spans="1:3" x14ac:dyDescent="0.3">
      <c r="A51" s="145" t="s">
        <v>755</v>
      </c>
      <c r="B51" s="150" t="s">
        <v>582</v>
      </c>
      <c r="C51" s="145">
        <f>VLOOKUP(GroupVertices[[#This Row],[Vertex]], Vertices[], MATCH("ID", Vertices[#Headers], 0), FALSE)</f>
        <v>162</v>
      </c>
    </row>
    <row r="52" spans="1:3" x14ac:dyDescent="0.3">
      <c r="A52" s="145" t="s">
        <v>755</v>
      </c>
      <c r="B52" s="150" t="s">
        <v>581</v>
      </c>
      <c r="C52" s="145">
        <f>VLOOKUP(GroupVertices[[#This Row],[Vertex]], Vertices[], MATCH("ID", Vertices[#Headers], 0), FALSE)</f>
        <v>236</v>
      </c>
    </row>
    <row r="53" spans="1:3" x14ac:dyDescent="0.3">
      <c r="A53" s="145" t="s">
        <v>755</v>
      </c>
      <c r="B53" s="150" t="s">
        <v>259</v>
      </c>
      <c r="C53" s="145">
        <f>VLOOKUP(GroupVertices[[#This Row],[Vertex]], Vertices[], MATCH("ID", Vertices[#Headers], 0), FALSE)</f>
        <v>242</v>
      </c>
    </row>
    <row r="54" spans="1:3" x14ac:dyDescent="0.3">
      <c r="A54" s="145" t="s">
        <v>755</v>
      </c>
      <c r="B54" s="150" t="s">
        <v>263</v>
      </c>
      <c r="C54" s="145">
        <f>VLOOKUP(GroupVertices[[#This Row],[Vertex]], Vertices[], MATCH("ID", Vertices[#Headers], 0), FALSE)</f>
        <v>237</v>
      </c>
    </row>
    <row r="55" spans="1:3" x14ac:dyDescent="0.3">
      <c r="A55" s="145" t="s">
        <v>755</v>
      </c>
      <c r="B55" s="150" t="s">
        <v>203</v>
      </c>
      <c r="C55" s="145">
        <f>VLOOKUP(GroupVertices[[#This Row],[Vertex]], Vertices[], MATCH("ID", Vertices[#Headers], 0), FALSE)</f>
        <v>210</v>
      </c>
    </row>
    <row r="56" spans="1:3" x14ac:dyDescent="0.3">
      <c r="A56" s="145" t="s">
        <v>755</v>
      </c>
      <c r="B56" s="150" t="s">
        <v>190</v>
      </c>
      <c r="C56" s="145">
        <f>VLOOKUP(GroupVertices[[#This Row],[Vertex]], Vertices[], MATCH("ID", Vertices[#Headers], 0), FALSE)</f>
        <v>171</v>
      </c>
    </row>
    <row r="57" spans="1:3" x14ac:dyDescent="0.3">
      <c r="A57" s="145" t="s">
        <v>755</v>
      </c>
      <c r="B57" s="150" t="s">
        <v>254</v>
      </c>
      <c r="C57" s="145">
        <f>VLOOKUP(GroupVertices[[#This Row],[Vertex]], Vertices[], MATCH("ID", Vertices[#Headers], 0), FALSE)</f>
        <v>111</v>
      </c>
    </row>
    <row r="58" spans="1:3" x14ac:dyDescent="0.3">
      <c r="A58" s="145" t="s">
        <v>755</v>
      </c>
      <c r="B58" s="150" t="s">
        <v>206</v>
      </c>
      <c r="C58" s="145">
        <f>VLOOKUP(GroupVertices[[#This Row],[Vertex]], Vertices[], MATCH("ID", Vertices[#Headers], 0), FALSE)</f>
        <v>247</v>
      </c>
    </row>
    <row r="59" spans="1:3" x14ac:dyDescent="0.3">
      <c r="A59" s="145" t="s">
        <v>755</v>
      </c>
      <c r="B59" s="150" t="s">
        <v>187</v>
      </c>
      <c r="C59" s="145">
        <f>VLOOKUP(GroupVertices[[#This Row],[Vertex]], Vertices[], MATCH("ID", Vertices[#Headers], 0), FALSE)</f>
        <v>128</v>
      </c>
    </row>
    <row r="60" spans="1:3" x14ac:dyDescent="0.3">
      <c r="A60" s="145" t="s">
        <v>755</v>
      </c>
      <c r="B60" s="150" t="s">
        <v>277</v>
      </c>
      <c r="C60" s="145">
        <f>VLOOKUP(GroupVertices[[#This Row],[Vertex]], Vertices[], MATCH("ID", Vertices[#Headers], 0), FALSE)</f>
        <v>227</v>
      </c>
    </row>
    <row r="61" spans="1:3" x14ac:dyDescent="0.3">
      <c r="A61" s="145" t="s">
        <v>755</v>
      </c>
      <c r="B61" s="150" t="s">
        <v>205</v>
      </c>
      <c r="C61" s="145">
        <f>VLOOKUP(GroupVertices[[#This Row],[Vertex]], Vertices[], MATCH("ID", Vertices[#Headers], 0), FALSE)</f>
        <v>103</v>
      </c>
    </row>
    <row r="62" spans="1:3" x14ac:dyDescent="0.3">
      <c r="A62" s="145" t="s">
        <v>755</v>
      </c>
      <c r="B62" s="150" t="s">
        <v>202</v>
      </c>
      <c r="C62" s="145">
        <f>VLOOKUP(GroupVertices[[#This Row],[Vertex]], Vertices[], MATCH("ID", Vertices[#Headers], 0), FALSE)</f>
        <v>156</v>
      </c>
    </row>
    <row r="63" spans="1:3" x14ac:dyDescent="0.3">
      <c r="A63" s="145" t="s">
        <v>755</v>
      </c>
      <c r="B63" s="150" t="s">
        <v>281</v>
      </c>
      <c r="C63" s="145">
        <f>VLOOKUP(GroupVertices[[#This Row],[Vertex]], Vertices[], MATCH("ID", Vertices[#Headers], 0), FALSE)</f>
        <v>114</v>
      </c>
    </row>
    <row r="64" spans="1:3" x14ac:dyDescent="0.3">
      <c r="A64" s="145" t="s">
        <v>755</v>
      </c>
      <c r="B64" s="150" t="s">
        <v>283</v>
      </c>
      <c r="C64" s="145">
        <f>VLOOKUP(GroupVertices[[#This Row],[Vertex]], Vertices[], MATCH("ID", Vertices[#Headers], 0), FALSE)</f>
        <v>191</v>
      </c>
    </row>
    <row r="65" spans="1:3" x14ac:dyDescent="0.3">
      <c r="A65" s="145" t="s">
        <v>755</v>
      </c>
      <c r="B65" s="150" t="s">
        <v>282</v>
      </c>
      <c r="C65" s="145">
        <f>VLOOKUP(GroupVertices[[#This Row],[Vertex]], Vertices[], MATCH("ID", Vertices[#Headers], 0), FALSE)</f>
        <v>39</v>
      </c>
    </row>
    <row r="66" spans="1:3" x14ac:dyDescent="0.3">
      <c r="A66" s="145" t="s">
        <v>755</v>
      </c>
      <c r="B66" s="150" t="s">
        <v>340</v>
      </c>
      <c r="C66" s="145">
        <f>VLOOKUP(GroupVertices[[#This Row],[Vertex]], Vertices[], MATCH("ID", Vertices[#Headers], 0), FALSE)</f>
        <v>161</v>
      </c>
    </row>
    <row r="67" spans="1:3" x14ac:dyDescent="0.3">
      <c r="A67" s="145" t="s">
        <v>755</v>
      </c>
      <c r="B67" s="150" t="s">
        <v>208</v>
      </c>
      <c r="C67" s="145">
        <f>VLOOKUP(GroupVertices[[#This Row],[Vertex]], Vertices[], MATCH("ID", Vertices[#Headers], 0), FALSE)</f>
        <v>163</v>
      </c>
    </row>
    <row r="68" spans="1:3" x14ac:dyDescent="0.3">
      <c r="A68" s="145" t="s">
        <v>755</v>
      </c>
      <c r="B68" s="150" t="s">
        <v>240</v>
      </c>
      <c r="C68" s="145">
        <f>VLOOKUP(GroupVertices[[#This Row],[Vertex]], Vertices[], MATCH("ID", Vertices[#Headers], 0), FALSE)</f>
        <v>56</v>
      </c>
    </row>
    <row r="69" spans="1:3" x14ac:dyDescent="0.3">
      <c r="A69" s="145" t="s">
        <v>755</v>
      </c>
      <c r="B69" s="150" t="s">
        <v>225</v>
      </c>
      <c r="C69" s="145">
        <f>VLOOKUP(GroupVertices[[#This Row],[Vertex]], Vertices[], MATCH("ID", Vertices[#Headers], 0), FALSE)</f>
        <v>195</v>
      </c>
    </row>
    <row r="70" spans="1:3" x14ac:dyDescent="0.3">
      <c r="A70" s="145" t="s">
        <v>755</v>
      </c>
      <c r="B70" s="150" t="s">
        <v>229</v>
      </c>
      <c r="C70" s="145">
        <f>VLOOKUP(GroupVertices[[#This Row],[Vertex]], Vertices[], MATCH("ID", Vertices[#Headers], 0), FALSE)</f>
        <v>212</v>
      </c>
    </row>
    <row r="71" spans="1:3" x14ac:dyDescent="0.3">
      <c r="A71" s="145" t="s">
        <v>755</v>
      </c>
      <c r="B71" s="150" t="s">
        <v>262</v>
      </c>
      <c r="C71" s="145">
        <f>VLOOKUP(GroupVertices[[#This Row],[Vertex]], Vertices[], MATCH("ID", Vertices[#Headers], 0), FALSE)</f>
        <v>158</v>
      </c>
    </row>
    <row r="72" spans="1:3" x14ac:dyDescent="0.3">
      <c r="A72" s="145" t="s">
        <v>756</v>
      </c>
      <c r="B72" s="150" t="s">
        <v>316</v>
      </c>
      <c r="C72" s="145">
        <f>VLOOKUP(GroupVertices[[#This Row],[Vertex]], Vertices[], MATCH("ID", Vertices[#Headers], 0), FALSE)</f>
        <v>108</v>
      </c>
    </row>
    <row r="73" spans="1:3" x14ac:dyDescent="0.3">
      <c r="A73" s="145" t="s">
        <v>756</v>
      </c>
      <c r="B73" s="150" t="s">
        <v>380</v>
      </c>
      <c r="C73" s="145">
        <f>VLOOKUP(GroupVertices[[#This Row],[Vertex]], Vertices[], MATCH("ID", Vertices[#Headers], 0), FALSE)</f>
        <v>184</v>
      </c>
    </row>
    <row r="74" spans="1:3" x14ac:dyDescent="0.3">
      <c r="A74" s="145" t="s">
        <v>756</v>
      </c>
      <c r="B74" s="150" t="s">
        <v>348</v>
      </c>
      <c r="C74" s="145">
        <f>VLOOKUP(GroupVertices[[#This Row],[Vertex]], Vertices[], MATCH("ID", Vertices[#Headers], 0), FALSE)</f>
        <v>78</v>
      </c>
    </row>
    <row r="75" spans="1:3" x14ac:dyDescent="0.3">
      <c r="A75" s="145" t="s">
        <v>756</v>
      </c>
      <c r="B75" s="150" t="s">
        <v>376</v>
      </c>
      <c r="C75" s="145">
        <f>VLOOKUP(GroupVertices[[#This Row],[Vertex]], Vertices[], MATCH("ID", Vertices[#Headers], 0), FALSE)</f>
        <v>182</v>
      </c>
    </row>
    <row r="76" spans="1:3" x14ac:dyDescent="0.3">
      <c r="A76" s="145" t="s">
        <v>756</v>
      </c>
      <c r="B76" s="150" t="s">
        <v>351</v>
      </c>
      <c r="C76" s="145">
        <f>VLOOKUP(GroupVertices[[#This Row],[Vertex]], Vertices[], MATCH("ID", Vertices[#Headers], 0), FALSE)</f>
        <v>119</v>
      </c>
    </row>
    <row r="77" spans="1:3" x14ac:dyDescent="0.3">
      <c r="A77" s="145" t="s">
        <v>756</v>
      </c>
      <c r="B77" s="150" t="s">
        <v>382</v>
      </c>
      <c r="C77" s="145">
        <f>VLOOKUP(GroupVertices[[#This Row],[Vertex]], Vertices[], MATCH("ID", Vertices[#Headers], 0), FALSE)</f>
        <v>30</v>
      </c>
    </row>
    <row r="78" spans="1:3" x14ac:dyDescent="0.3">
      <c r="A78" s="145" t="s">
        <v>756</v>
      </c>
      <c r="B78" s="150" t="s">
        <v>309</v>
      </c>
      <c r="C78" s="145">
        <f>VLOOKUP(GroupVertices[[#This Row],[Vertex]], Vertices[], MATCH("ID", Vertices[#Headers], 0), FALSE)</f>
        <v>71</v>
      </c>
    </row>
    <row r="79" spans="1:3" x14ac:dyDescent="0.3">
      <c r="A79" s="145" t="s">
        <v>756</v>
      </c>
      <c r="B79" s="150" t="s">
        <v>291</v>
      </c>
      <c r="C79" s="145">
        <f>VLOOKUP(GroupVertices[[#This Row],[Vertex]], Vertices[], MATCH("ID", Vertices[#Headers], 0), FALSE)</f>
        <v>199</v>
      </c>
    </row>
    <row r="80" spans="1:3" x14ac:dyDescent="0.3">
      <c r="A80" s="145" t="s">
        <v>756</v>
      </c>
      <c r="B80" s="150" t="s">
        <v>386</v>
      </c>
      <c r="C80" s="145">
        <f>VLOOKUP(GroupVertices[[#This Row],[Vertex]], Vertices[], MATCH("ID", Vertices[#Headers], 0), FALSE)</f>
        <v>37</v>
      </c>
    </row>
    <row r="81" spans="1:3" x14ac:dyDescent="0.3">
      <c r="A81" s="145" t="s">
        <v>756</v>
      </c>
      <c r="B81" s="150" t="s">
        <v>366</v>
      </c>
      <c r="C81" s="145">
        <f>VLOOKUP(GroupVertices[[#This Row],[Vertex]], Vertices[], MATCH("ID", Vertices[#Headers], 0), FALSE)</f>
        <v>165</v>
      </c>
    </row>
    <row r="82" spans="1:3" x14ac:dyDescent="0.3">
      <c r="A82" s="145" t="s">
        <v>756</v>
      </c>
      <c r="B82" s="150" t="s">
        <v>383</v>
      </c>
      <c r="C82" s="145">
        <f>VLOOKUP(GroupVertices[[#This Row],[Vertex]], Vertices[], MATCH("ID", Vertices[#Headers], 0), FALSE)</f>
        <v>29</v>
      </c>
    </row>
    <row r="83" spans="1:3" x14ac:dyDescent="0.3">
      <c r="A83" s="145" t="s">
        <v>756</v>
      </c>
      <c r="B83" s="150" t="s">
        <v>566</v>
      </c>
      <c r="C83" s="145">
        <f>VLOOKUP(GroupVertices[[#This Row],[Vertex]], Vertices[], MATCH("ID", Vertices[#Headers], 0), FALSE)</f>
        <v>224</v>
      </c>
    </row>
    <row r="84" spans="1:3" x14ac:dyDescent="0.3">
      <c r="A84" s="145" t="s">
        <v>756</v>
      </c>
      <c r="B84" s="150" t="s">
        <v>568</v>
      </c>
      <c r="C84" s="145">
        <f>VLOOKUP(GroupVertices[[#This Row],[Vertex]], Vertices[], MATCH("ID", Vertices[#Headers], 0), FALSE)</f>
        <v>60</v>
      </c>
    </row>
    <row r="85" spans="1:3" x14ac:dyDescent="0.3">
      <c r="A85" s="145" t="s">
        <v>756</v>
      </c>
      <c r="B85" s="150" t="s">
        <v>350</v>
      </c>
      <c r="C85" s="145">
        <f>VLOOKUP(GroupVertices[[#This Row],[Vertex]], Vertices[], MATCH("ID", Vertices[#Headers], 0), FALSE)</f>
        <v>173</v>
      </c>
    </row>
    <row r="86" spans="1:3" x14ac:dyDescent="0.3">
      <c r="A86" s="145" t="s">
        <v>756</v>
      </c>
      <c r="B86" s="150" t="s">
        <v>570</v>
      </c>
      <c r="C86" s="145">
        <f>VLOOKUP(GroupVertices[[#This Row],[Vertex]], Vertices[], MATCH("ID", Vertices[#Headers], 0), FALSE)</f>
        <v>35</v>
      </c>
    </row>
    <row r="87" spans="1:3" x14ac:dyDescent="0.3">
      <c r="A87" s="145" t="s">
        <v>756</v>
      </c>
      <c r="B87" s="150" t="s">
        <v>222</v>
      </c>
      <c r="C87" s="145">
        <f>VLOOKUP(GroupVertices[[#This Row],[Vertex]], Vertices[], MATCH("ID", Vertices[#Headers], 0), FALSE)</f>
        <v>15</v>
      </c>
    </row>
    <row r="88" spans="1:3" x14ac:dyDescent="0.3">
      <c r="A88" s="145" t="s">
        <v>756</v>
      </c>
      <c r="B88" s="150" t="s">
        <v>372</v>
      </c>
      <c r="C88" s="145">
        <f>VLOOKUP(GroupVertices[[#This Row],[Vertex]], Vertices[], MATCH("ID", Vertices[#Headers], 0), FALSE)</f>
        <v>77</v>
      </c>
    </row>
    <row r="89" spans="1:3" x14ac:dyDescent="0.3">
      <c r="A89" s="145" t="s">
        <v>756</v>
      </c>
      <c r="B89" s="150" t="s">
        <v>585</v>
      </c>
      <c r="C89" s="145">
        <f>VLOOKUP(GroupVertices[[#This Row],[Vertex]], Vertices[], MATCH("ID", Vertices[#Headers], 0), FALSE)</f>
        <v>36</v>
      </c>
    </row>
    <row r="90" spans="1:3" x14ac:dyDescent="0.3">
      <c r="A90" s="145" t="s">
        <v>756</v>
      </c>
      <c r="B90" s="150" t="s">
        <v>373</v>
      </c>
      <c r="C90" s="145">
        <f>VLOOKUP(GroupVertices[[#This Row],[Vertex]], Vertices[], MATCH("ID", Vertices[#Headers], 0), FALSE)</f>
        <v>3</v>
      </c>
    </row>
    <row r="91" spans="1:3" x14ac:dyDescent="0.3">
      <c r="A91" s="145" t="s">
        <v>756</v>
      </c>
      <c r="B91" s="150" t="s">
        <v>381</v>
      </c>
      <c r="C91" s="145">
        <f>VLOOKUP(GroupVertices[[#This Row],[Vertex]], Vertices[], MATCH("ID", Vertices[#Headers], 0), FALSE)</f>
        <v>169</v>
      </c>
    </row>
    <row r="92" spans="1:3" x14ac:dyDescent="0.3">
      <c r="A92" s="145" t="s">
        <v>756</v>
      </c>
      <c r="B92" s="150" t="s">
        <v>252</v>
      </c>
      <c r="C92" s="145">
        <f>VLOOKUP(GroupVertices[[#This Row],[Vertex]], Vertices[], MATCH("ID", Vertices[#Headers], 0), FALSE)</f>
        <v>117</v>
      </c>
    </row>
    <row r="93" spans="1:3" x14ac:dyDescent="0.3">
      <c r="A93" s="145" t="s">
        <v>756</v>
      </c>
      <c r="B93" s="150" t="s">
        <v>385</v>
      </c>
      <c r="C93" s="145">
        <f>VLOOKUP(GroupVertices[[#This Row],[Vertex]], Vertices[], MATCH("ID", Vertices[#Headers], 0), FALSE)</f>
        <v>143</v>
      </c>
    </row>
    <row r="94" spans="1:3" x14ac:dyDescent="0.3">
      <c r="A94" s="145" t="s">
        <v>756</v>
      </c>
      <c r="B94" s="150" t="s">
        <v>567</v>
      </c>
      <c r="C94" s="145">
        <f>VLOOKUP(GroupVertices[[#This Row],[Vertex]], Vertices[], MATCH("ID", Vertices[#Headers], 0), FALSE)</f>
        <v>61</v>
      </c>
    </row>
    <row r="95" spans="1:3" x14ac:dyDescent="0.3">
      <c r="A95" s="145" t="s">
        <v>756</v>
      </c>
      <c r="B95" s="150" t="s">
        <v>345</v>
      </c>
      <c r="C95" s="145">
        <f>VLOOKUP(GroupVertices[[#This Row],[Vertex]], Vertices[], MATCH("ID", Vertices[#Headers], 0), FALSE)</f>
        <v>164</v>
      </c>
    </row>
    <row r="96" spans="1:3" x14ac:dyDescent="0.3">
      <c r="A96" s="145" t="s">
        <v>756</v>
      </c>
      <c r="B96" s="150" t="s">
        <v>389</v>
      </c>
      <c r="C96" s="145">
        <f>VLOOKUP(GroupVertices[[#This Row],[Vertex]], Vertices[], MATCH("ID", Vertices[#Headers], 0), FALSE)</f>
        <v>202</v>
      </c>
    </row>
    <row r="97" spans="1:3" x14ac:dyDescent="0.3">
      <c r="A97" s="145" t="s">
        <v>756</v>
      </c>
      <c r="B97" s="150" t="s">
        <v>346</v>
      </c>
      <c r="C97" s="145">
        <f>VLOOKUP(GroupVertices[[#This Row],[Vertex]], Vertices[], MATCH("ID", Vertices[#Headers], 0), FALSE)</f>
        <v>4</v>
      </c>
    </row>
    <row r="98" spans="1:3" x14ac:dyDescent="0.3">
      <c r="A98" s="145" t="s">
        <v>756</v>
      </c>
      <c r="B98" s="150" t="s">
        <v>390</v>
      </c>
      <c r="C98" s="145">
        <f>VLOOKUP(GroupVertices[[#This Row],[Vertex]], Vertices[], MATCH("ID", Vertices[#Headers], 0), FALSE)</f>
        <v>187</v>
      </c>
    </row>
    <row r="99" spans="1:3" x14ac:dyDescent="0.3">
      <c r="A99" s="145" t="s">
        <v>756</v>
      </c>
      <c r="B99" s="150" t="s">
        <v>391</v>
      </c>
      <c r="C99" s="145">
        <f>VLOOKUP(GroupVertices[[#This Row],[Vertex]], Vertices[], MATCH("ID", Vertices[#Headers], 0), FALSE)</f>
        <v>148</v>
      </c>
    </row>
    <row r="100" spans="1:3" x14ac:dyDescent="0.3">
      <c r="A100" s="145" t="s">
        <v>756</v>
      </c>
      <c r="B100" s="150" t="s">
        <v>394</v>
      </c>
      <c r="C100" s="145">
        <f>VLOOKUP(GroupVertices[[#This Row],[Vertex]], Vertices[], MATCH("ID", Vertices[#Headers], 0), FALSE)</f>
        <v>89</v>
      </c>
    </row>
    <row r="101" spans="1:3" x14ac:dyDescent="0.3">
      <c r="A101" s="145" t="s">
        <v>756</v>
      </c>
      <c r="B101" s="150" t="s">
        <v>365</v>
      </c>
      <c r="C101" s="145">
        <f>VLOOKUP(GroupVertices[[#This Row],[Vertex]], Vertices[], MATCH("ID", Vertices[#Headers], 0), FALSE)</f>
        <v>7</v>
      </c>
    </row>
    <row r="102" spans="1:3" x14ac:dyDescent="0.3">
      <c r="A102" s="145" t="s">
        <v>757</v>
      </c>
      <c r="B102" s="150" t="s">
        <v>257</v>
      </c>
      <c r="C102" s="145">
        <f>VLOOKUP(GroupVertices[[#This Row],[Vertex]], Vertices[], MATCH("ID", Vertices[#Headers], 0), FALSE)</f>
        <v>232</v>
      </c>
    </row>
    <row r="103" spans="1:3" x14ac:dyDescent="0.3">
      <c r="A103" s="145" t="s">
        <v>757</v>
      </c>
      <c r="B103" s="150" t="s">
        <v>301</v>
      </c>
      <c r="C103" s="145">
        <f>VLOOKUP(GroupVertices[[#This Row],[Vertex]], Vertices[], MATCH("ID", Vertices[#Headers], 0), FALSE)</f>
        <v>101</v>
      </c>
    </row>
    <row r="104" spans="1:3" x14ac:dyDescent="0.3">
      <c r="A104" s="145" t="s">
        <v>757</v>
      </c>
      <c r="B104" s="150" t="s">
        <v>224</v>
      </c>
      <c r="C104" s="145">
        <f>VLOOKUP(GroupVertices[[#This Row],[Vertex]], Vertices[], MATCH("ID", Vertices[#Headers], 0), FALSE)</f>
        <v>72</v>
      </c>
    </row>
    <row r="105" spans="1:3" x14ac:dyDescent="0.3">
      <c r="A105" s="145" t="s">
        <v>757</v>
      </c>
      <c r="B105" s="150" t="s">
        <v>302</v>
      </c>
      <c r="C105" s="145">
        <f>VLOOKUP(GroupVertices[[#This Row],[Vertex]], Vertices[], MATCH("ID", Vertices[#Headers], 0), FALSE)</f>
        <v>73</v>
      </c>
    </row>
    <row r="106" spans="1:3" x14ac:dyDescent="0.3">
      <c r="A106" s="145" t="s">
        <v>757</v>
      </c>
      <c r="B106" s="150" t="s">
        <v>308</v>
      </c>
      <c r="C106" s="145">
        <f>VLOOKUP(GroupVertices[[#This Row],[Vertex]], Vertices[], MATCH("ID", Vertices[#Headers], 0), FALSE)</f>
        <v>197</v>
      </c>
    </row>
    <row r="107" spans="1:3" x14ac:dyDescent="0.3">
      <c r="A107" s="145" t="s">
        <v>757</v>
      </c>
      <c r="B107" s="150" t="s">
        <v>307</v>
      </c>
      <c r="C107" s="145">
        <f>VLOOKUP(GroupVertices[[#This Row],[Vertex]], Vertices[], MATCH("ID", Vertices[#Headers], 0), FALSE)</f>
        <v>27</v>
      </c>
    </row>
    <row r="108" spans="1:3" x14ac:dyDescent="0.3">
      <c r="A108" s="145" t="s">
        <v>757</v>
      </c>
      <c r="B108" s="150" t="s">
        <v>306</v>
      </c>
      <c r="C108" s="145">
        <f>VLOOKUP(GroupVertices[[#This Row],[Vertex]], Vertices[], MATCH("ID", Vertices[#Headers], 0), FALSE)</f>
        <v>19</v>
      </c>
    </row>
    <row r="109" spans="1:3" x14ac:dyDescent="0.3">
      <c r="A109" s="145" t="s">
        <v>757</v>
      </c>
      <c r="B109" s="150" t="s">
        <v>304</v>
      </c>
      <c r="C109" s="145">
        <f>VLOOKUP(GroupVertices[[#This Row],[Vertex]], Vertices[], MATCH("ID", Vertices[#Headers], 0), FALSE)</f>
        <v>180</v>
      </c>
    </row>
    <row r="110" spans="1:3" x14ac:dyDescent="0.3">
      <c r="A110" s="145" t="s">
        <v>757</v>
      </c>
      <c r="B110" s="150" t="s">
        <v>310</v>
      </c>
      <c r="C110" s="145">
        <f>VLOOKUP(GroupVertices[[#This Row],[Vertex]], Vertices[], MATCH("ID", Vertices[#Headers], 0), FALSE)</f>
        <v>54</v>
      </c>
    </row>
    <row r="111" spans="1:3" x14ac:dyDescent="0.3">
      <c r="A111" s="145" t="s">
        <v>757</v>
      </c>
      <c r="B111" s="150" t="s">
        <v>305</v>
      </c>
      <c r="C111" s="145">
        <f>VLOOKUP(GroupVertices[[#This Row],[Vertex]], Vertices[], MATCH("ID", Vertices[#Headers], 0), FALSE)</f>
        <v>239</v>
      </c>
    </row>
    <row r="112" spans="1:3" x14ac:dyDescent="0.3">
      <c r="A112" s="145" t="s">
        <v>757</v>
      </c>
      <c r="B112" s="150" t="s">
        <v>303</v>
      </c>
      <c r="C112" s="145">
        <f>VLOOKUP(GroupVertices[[#This Row],[Vertex]], Vertices[], MATCH("ID", Vertices[#Headers], 0), FALSE)</f>
        <v>139</v>
      </c>
    </row>
    <row r="113" spans="1:3" x14ac:dyDescent="0.3">
      <c r="A113" s="145" t="s">
        <v>757</v>
      </c>
      <c r="B113" s="150" t="s">
        <v>322</v>
      </c>
      <c r="C113" s="145">
        <f>VLOOKUP(GroupVertices[[#This Row],[Vertex]], Vertices[], MATCH("ID", Vertices[#Headers], 0), FALSE)</f>
        <v>96</v>
      </c>
    </row>
    <row r="114" spans="1:3" x14ac:dyDescent="0.3">
      <c r="A114" s="145" t="s">
        <v>757</v>
      </c>
      <c r="B114" s="150" t="s">
        <v>324</v>
      </c>
      <c r="C114" s="145">
        <f>VLOOKUP(GroupVertices[[#This Row],[Vertex]], Vertices[], MATCH("ID", Vertices[#Headers], 0), FALSE)</f>
        <v>25</v>
      </c>
    </row>
    <row r="115" spans="1:3" x14ac:dyDescent="0.3">
      <c r="A115" s="145" t="s">
        <v>757</v>
      </c>
      <c r="B115" s="150" t="s">
        <v>323</v>
      </c>
      <c r="C115" s="145">
        <f>VLOOKUP(GroupVertices[[#This Row],[Vertex]], Vertices[], MATCH("ID", Vertices[#Headers], 0), FALSE)</f>
        <v>179</v>
      </c>
    </row>
    <row r="116" spans="1:3" x14ac:dyDescent="0.3">
      <c r="A116" s="145" t="s">
        <v>757</v>
      </c>
      <c r="B116" s="150" t="s">
        <v>321</v>
      </c>
      <c r="C116" s="145">
        <f>VLOOKUP(GroupVertices[[#This Row],[Vertex]], Vertices[], MATCH("ID", Vertices[#Headers], 0), FALSE)</f>
        <v>42</v>
      </c>
    </row>
    <row r="117" spans="1:3" x14ac:dyDescent="0.3">
      <c r="A117" s="145" t="s">
        <v>757</v>
      </c>
      <c r="B117" s="150" t="s">
        <v>320</v>
      </c>
      <c r="C117" s="145">
        <f>VLOOKUP(GroupVertices[[#This Row],[Vertex]], Vertices[], MATCH("ID", Vertices[#Headers], 0), FALSE)</f>
        <v>207</v>
      </c>
    </row>
    <row r="118" spans="1:3" x14ac:dyDescent="0.3">
      <c r="A118" s="145" t="s">
        <v>757</v>
      </c>
      <c r="B118" s="150" t="s">
        <v>315</v>
      </c>
      <c r="C118" s="145">
        <f>VLOOKUP(GroupVertices[[#This Row],[Vertex]], Vertices[], MATCH("ID", Vertices[#Headers], 0), FALSE)</f>
        <v>201</v>
      </c>
    </row>
    <row r="119" spans="1:3" x14ac:dyDescent="0.3">
      <c r="A119" s="145" t="s">
        <v>757</v>
      </c>
      <c r="B119" s="150" t="s">
        <v>314</v>
      </c>
      <c r="C119" s="145">
        <f>VLOOKUP(GroupVertices[[#This Row],[Vertex]], Vertices[], MATCH("ID", Vertices[#Headers], 0), FALSE)</f>
        <v>218</v>
      </c>
    </row>
    <row r="120" spans="1:3" x14ac:dyDescent="0.3">
      <c r="A120" s="145" t="s">
        <v>757</v>
      </c>
      <c r="B120" s="150" t="s">
        <v>312</v>
      </c>
      <c r="C120" s="145">
        <f>VLOOKUP(GroupVertices[[#This Row],[Vertex]], Vertices[], MATCH("ID", Vertices[#Headers], 0), FALSE)</f>
        <v>98</v>
      </c>
    </row>
    <row r="121" spans="1:3" x14ac:dyDescent="0.3">
      <c r="A121" s="145" t="s">
        <v>757</v>
      </c>
      <c r="B121" s="150" t="s">
        <v>319</v>
      </c>
      <c r="C121" s="145">
        <f>VLOOKUP(GroupVertices[[#This Row],[Vertex]], Vertices[], MATCH("ID", Vertices[#Headers], 0), FALSE)</f>
        <v>31</v>
      </c>
    </row>
    <row r="122" spans="1:3" x14ac:dyDescent="0.3">
      <c r="A122" s="145" t="s">
        <v>757</v>
      </c>
      <c r="B122" s="150" t="s">
        <v>318</v>
      </c>
      <c r="C122" s="145">
        <f>VLOOKUP(GroupVertices[[#This Row],[Vertex]], Vertices[], MATCH("ID", Vertices[#Headers], 0), FALSE)</f>
        <v>26</v>
      </c>
    </row>
    <row r="123" spans="1:3" x14ac:dyDescent="0.3">
      <c r="A123" s="145" t="s">
        <v>757</v>
      </c>
      <c r="B123" s="150" t="s">
        <v>317</v>
      </c>
      <c r="C123" s="145">
        <f>VLOOKUP(GroupVertices[[#This Row],[Vertex]], Vertices[], MATCH("ID", Vertices[#Headers], 0), FALSE)</f>
        <v>178</v>
      </c>
    </row>
    <row r="124" spans="1:3" x14ac:dyDescent="0.3">
      <c r="A124" s="145" t="s">
        <v>757</v>
      </c>
      <c r="B124" s="150" t="s">
        <v>587</v>
      </c>
      <c r="C124" s="145">
        <f>VLOOKUP(GroupVertices[[#This Row],[Vertex]], Vertices[], MATCH("ID", Vertices[#Headers], 0), FALSE)</f>
        <v>47</v>
      </c>
    </row>
    <row r="125" spans="1:3" x14ac:dyDescent="0.3">
      <c r="A125" s="145" t="s">
        <v>757</v>
      </c>
      <c r="B125" s="150" t="s">
        <v>313</v>
      </c>
      <c r="C125" s="145">
        <f>VLOOKUP(GroupVertices[[#This Row],[Vertex]], Vertices[], MATCH("ID", Vertices[#Headers], 0), FALSE)</f>
        <v>79</v>
      </c>
    </row>
    <row r="126" spans="1:3" x14ac:dyDescent="0.3">
      <c r="A126" s="145" t="s">
        <v>757</v>
      </c>
      <c r="B126" s="150" t="s">
        <v>223</v>
      </c>
      <c r="C126" s="145">
        <f>VLOOKUP(GroupVertices[[#This Row],[Vertex]], Vertices[], MATCH("ID", Vertices[#Headers], 0), FALSE)</f>
        <v>97</v>
      </c>
    </row>
    <row r="127" spans="1:3" x14ac:dyDescent="0.3">
      <c r="A127" s="145" t="s">
        <v>757</v>
      </c>
      <c r="B127" s="150" t="s">
        <v>311</v>
      </c>
      <c r="C127" s="145">
        <f>VLOOKUP(GroupVertices[[#This Row],[Vertex]], Vertices[], MATCH("ID", Vertices[#Headers], 0), FALSE)</f>
        <v>147</v>
      </c>
    </row>
    <row r="128" spans="1:3" x14ac:dyDescent="0.3">
      <c r="A128" s="145" t="s">
        <v>757</v>
      </c>
      <c r="B128" s="150" t="s">
        <v>221</v>
      </c>
      <c r="C128" s="145">
        <f>VLOOKUP(GroupVertices[[#This Row],[Vertex]], Vertices[], MATCH("ID", Vertices[#Headers], 0), FALSE)</f>
        <v>92</v>
      </c>
    </row>
    <row r="129" spans="1:3" x14ac:dyDescent="0.3">
      <c r="A129" s="145" t="s">
        <v>757</v>
      </c>
      <c r="B129" s="150" t="s">
        <v>326</v>
      </c>
      <c r="C129" s="145">
        <f>VLOOKUP(GroupVertices[[#This Row],[Vertex]], Vertices[], MATCH("ID", Vertices[#Headers], 0), FALSE)</f>
        <v>21</v>
      </c>
    </row>
    <row r="130" spans="1:3" x14ac:dyDescent="0.3">
      <c r="A130" s="145" t="s">
        <v>757</v>
      </c>
      <c r="B130" s="150" t="s">
        <v>231</v>
      </c>
      <c r="C130" s="145">
        <f>VLOOKUP(GroupVertices[[#This Row],[Vertex]], Vertices[], MATCH("ID", Vertices[#Headers], 0), FALSE)</f>
        <v>16</v>
      </c>
    </row>
    <row r="131" spans="1:3" x14ac:dyDescent="0.3">
      <c r="A131" s="145" t="s">
        <v>757</v>
      </c>
      <c r="B131" s="150" t="s">
        <v>683</v>
      </c>
      <c r="C131" s="145">
        <f>VLOOKUP(GroupVertices[[#This Row],[Vertex]], Vertices[], MATCH("ID", Vertices[#Headers], 0), FALSE)</f>
        <v>100</v>
      </c>
    </row>
    <row r="132" spans="1:3" x14ac:dyDescent="0.3">
      <c r="A132" s="145" t="s">
        <v>758</v>
      </c>
      <c r="B132" s="150" t="s">
        <v>226</v>
      </c>
      <c r="C132" s="145">
        <f>VLOOKUP(GroupVertices[[#This Row],[Vertex]], Vertices[], MATCH("ID", Vertices[#Headers], 0), FALSE)</f>
        <v>95</v>
      </c>
    </row>
    <row r="133" spans="1:3" x14ac:dyDescent="0.3">
      <c r="A133" s="145" t="s">
        <v>758</v>
      </c>
      <c r="B133" s="150" t="s">
        <v>210</v>
      </c>
      <c r="C133" s="145">
        <f>VLOOKUP(GroupVertices[[#This Row],[Vertex]], Vertices[], MATCH("ID", Vertices[#Headers], 0), FALSE)</f>
        <v>55</v>
      </c>
    </row>
    <row r="134" spans="1:3" x14ac:dyDescent="0.3">
      <c r="A134" s="145" t="s">
        <v>758</v>
      </c>
      <c r="B134" s="150" t="s">
        <v>246</v>
      </c>
      <c r="C134" s="145">
        <f>VLOOKUP(GroupVertices[[#This Row],[Vertex]], Vertices[], MATCH("ID", Vertices[#Headers], 0), FALSE)</f>
        <v>241</v>
      </c>
    </row>
    <row r="135" spans="1:3" x14ac:dyDescent="0.3">
      <c r="A135" s="145" t="s">
        <v>758</v>
      </c>
      <c r="B135" s="150" t="s">
        <v>197</v>
      </c>
      <c r="C135" s="145">
        <f>VLOOKUP(GroupVertices[[#This Row],[Vertex]], Vertices[], MATCH("ID", Vertices[#Headers], 0), FALSE)</f>
        <v>85</v>
      </c>
    </row>
    <row r="136" spans="1:3" x14ac:dyDescent="0.3">
      <c r="A136" s="145" t="s">
        <v>758</v>
      </c>
      <c r="B136" s="150" t="s">
        <v>200</v>
      </c>
      <c r="C136" s="145">
        <f>VLOOKUP(GroupVertices[[#This Row],[Vertex]], Vertices[], MATCH("ID", Vertices[#Headers], 0), FALSE)</f>
        <v>190</v>
      </c>
    </row>
    <row r="137" spans="1:3" x14ac:dyDescent="0.3">
      <c r="A137" s="145" t="s">
        <v>758</v>
      </c>
      <c r="B137" s="150" t="s">
        <v>256</v>
      </c>
      <c r="C137" s="145">
        <f>VLOOKUP(GroupVertices[[#This Row],[Vertex]], Vertices[], MATCH("ID", Vertices[#Headers], 0), FALSE)</f>
        <v>13</v>
      </c>
    </row>
    <row r="138" spans="1:3" x14ac:dyDescent="0.3">
      <c r="A138" s="145" t="s">
        <v>758</v>
      </c>
      <c r="B138" s="150" t="s">
        <v>255</v>
      </c>
      <c r="C138" s="145">
        <f>VLOOKUP(GroupVertices[[#This Row],[Vertex]], Vertices[], MATCH("ID", Vertices[#Headers], 0), FALSE)</f>
        <v>129</v>
      </c>
    </row>
    <row r="139" spans="1:3" x14ac:dyDescent="0.3">
      <c r="A139" s="145" t="s">
        <v>758</v>
      </c>
      <c r="B139" s="150" t="s">
        <v>375</v>
      </c>
      <c r="C139" s="145">
        <f>VLOOKUP(GroupVertices[[#This Row],[Vertex]], Vertices[], MATCH("ID", Vertices[#Headers], 0), FALSE)</f>
        <v>118</v>
      </c>
    </row>
    <row r="140" spans="1:3" x14ac:dyDescent="0.3">
      <c r="A140" s="145" t="s">
        <v>758</v>
      </c>
      <c r="B140" s="150" t="s">
        <v>209</v>
      </c>
      <c r="C140" s="145">
        <f>VLOOKUP(GroupVertices[[#This Row],[Vertex]], Vertices[], MATCH("ID", Vertices[#Headers], 0), FALSE)</f>
        <v>52</v>
      </c>
    </row>
    <row r="141" spans="1:3" x14ac:dyDescent="0.3">
      <c r="A141" s="145" t="s">
        <v>758</v>
      </c>
      <c r="B141" s="150" t="s">
        <v>214</v>
      </c>
      <c r="C141" s="145">
        <f>VLOOKUP(GroupVertices[[#This Row],[Vertex]], Vertices[], MATCH("ID", Vertices[#Headers], 0), FALSE)</f>
        <v>189</v>
      </c>
    </row>
    <row r="142" spans="1:3" x14ac:dyDescent="0.3">
      <c r="A142" s="145" t="s">
        <v>758</v>
      </c>
      <c r="B142" s="150" t="s">
        <v>238</v>
      </c>
      <c r="C142" s="145">
        <f>VLOOKUP(GroupVertices[[#This Row],[Vertex]], Vertices[], MATCH("ID", Vertices[#Headers], 0), FALSE)</f>
        <v>64</v>
      </c>
    </row>
    <row r="143" spans="1:3" x14ac:dyDescent="0.3">
      <c r="A143" s="145" t="s">
        <v>758</v>
      </c>
      <c r="B143" s="150" t="s">
        <v>271</v>
      </c>
      <c r="C143" s="145">
        <f>VLOOKUP(GroupVertices[[#This Row],[Vertex]], Vertices[], MATCH("ID", Vertices[#Headers], 0), FALSE)</f>
        <v>62</v>
      </c>
    </row>
    <row r="144" spans="1:3" x14ac:dyDescent="0.3">
      <c r="A144" s="145" t="s">
        <v>758</v>
      </c>
      <c r="B144" s="150" t="s">
        <v>270</v>
      </c>
      <c r="C144" s="145">
        <f>VLOOKUP(GroupVertices[[#This Row],[Vertex]], Vertices[], MATCH("ID", Vertices[#Headers], 0), FALSE)</f>
        <v>16</v>
      </c>
    </row>
    <row r="145" spans="1:3" x14ac:dyDescent="0.3">
      <c r="A145" s="145" t="s">
        <v>758</v>
      </c>
      <c r="B145" s="150" t="s">
        <v>269</v>
      </c>
      <c r="C145" s="145">
        <f>VLOOKUP(GroupVertices[[#This Row],[Vertex]], Vertices[], MATCH("ID", Vertices[#Headers], 0), FALSE)</f>
        <v>149</v>
      </c>
    </row>
    <row r="146" spans="1:3" x14ac:dyDescent="0.3">
      <c r="A146" s="145" t="s">
        <v>758</v>
      </c>
      <c r="B146" s="150" t="s">
        <v>268</v>
      </c>
      <c r="C146" s="145">
        <f>VLOOKUP(GroupVertices[[#This Row],[Vertex]], Vertices[], MATCH("ID", Vertices[#Headers], 0), FALSE)</f>
        <v>200</v>
      </c>
    </row>
    <row r="147" spans="1:3" x14ac:dyDescent="0.3">
      <c r="A147" s="145" t="s">
        <v>758</v>
      </c>
      <c r="B147" s="150" t="s">
        <v>267</v>
      </c>
      <c r="C147" s="145">
        <f>VLOOKUP(GroupVertices[[#This Row],[Vertex]], Vertices[], MATCH("ID", Vertices[#Headers], 0), FALSE)</f>
        <v>20</v>
      </c>
    </row>
    <row r="148" spans="1:3" x14ac:dyDescent="0.3">
      <c r="A148" s="145" t="s">
        <v>758</v>
      </c>
      <c r="B148" s="150" t="s">
        <v>233</v>
      </c>
      <c r="C148" s="145">
        <f>VLOOKUP(GroupVertices[[#This Row],[Vertex]], Vertices[], MATCH("ID", Vertices[#Headers], 0), FALSE)</f>
        <v>243</v>
      </c>
    </row>
    <row r="149" spans="1:3" x14ac:dyDescent="0.3">
      <c r="A149" s="145" t="s">
        <v>758</v>
      </c>
      <c r="B149" s="150" t="s">
        <v>284</v>
      </c>
      <c r="C149" s="145">
        <f>VLOOKUP(GroupVertices[[#This Row],[Vertex]], Vertices[], MATCH("ID", Vertices[#Headers], 0), FALSE)</f>
        <v>115</v>
      </c>
    </row>
    <row r="150" spans="1:3" x14ac:dyDescent="0.3">
      <c r="A150" s="145" t="s">
        <v>758</v>
      </c>
      <c r="B150" s="150" t="s">
        <v>286</v>
      </c>
      <c r="C150" s="145">
        <f>VLOOKUP(GroupVertices[[#This Row],[Vertex]], Vertices[], MATCH("ID", Vertices[#Headers], 0), FALSE)</f>
        <v>83</v>
      </c>
    </row>
    <row r="151" spans="1:3" x14ac:dyDescent="0.3">
      <c r="A151" s="145" t="s">
        <v>758</v>
      </c>
      <c r="B151" s="150" t="s">
        <v>285</v>
      </c>
      <c r="C151" s="145">
        <f>VLOOKUP(GroupVertices[[#This Row],[Vertex]], Vertices[], MATCH("ID", Vertices[#Headers], 0), FALSE)</f>
        <v>104</v>
      </c>
    </row>
    <row r="152" spans="1:3" x14ac:dyDescent="0.3">
      <c r="A152" s="145" t="s">
        <v>758</v>
      </c>
      <c r="B152" s="150" t="s">
        <v>183</v>
      </c>
      <c r="C152" s="145">
        <f>VLOOKUP(GroupVertices[[#This Row],[Vertex]], Vertices[], MATCH("ID", Vertices[#Headers], 0), FALSE)</f>
        <v>208</v>
      </c>
    </row>
    <row r="153" spans="1:3" x14ac:dyDescent="0.3">
      <c r="A153" s="145" t="s">
        <v>758</v>
      </c>
      <c r="B153" s="150" t="s">
        <v>258</v>
      </c>
      <c r="C153" s="145">
        <f>VLOOKUP(GroupVertices[[#This Row],[Vertex]], Vertices[], MATCH("ID", Vertices[#Headers], 0), FALSE)</f>
        <v>88</v>
      </c>
    </row>
    <row r="154" spans="1:3" x14ac:dyDescent="0.3">
      <c r="A154" s="145" t="s">
        <v>759</v>
      </c>
      <c r="B154" s="150" t="s">
        <v>212</v>
      </c>
      <c r="C154" s="145">
        <f>VLOOKUP(GroupVertices[[#This Row],[Vertex]], Vertices[], MATCH("ID", Vertices[#Headers], 0), FALSE)</f>
        <v>45</v>
      </c>
    </row>
    <row r="155" spans="1:3" x14ac:dyDescent="0.3">
      <c r="A155" s="145" t="s">
        <v>759</v>
      </c>
      <c r="B155" s="150" t="s">
        <v>364</v>
      </c>
      <c r="C155" s="145">
        <f>VLOOKUP(GroupVertices[[#This Row],[Vertex]], Vertices[], MATCH("ID", Vertices[#Headers], 0), FALSE)</f>
        <v>216</v>
      </c>
    </row>
    <row r="156" spans="1:3" x14ac:dyDescent="0.3">
      <c r="A156" s="145" t="s">
        <v>759</v>
      </c>
      <c r="B156" s="150" t="s">
        <v>357</v>
      </c>
      <c r="C156" s="145">
        <f>VLOOKUP(GroupVertices[[#This Row],[Vertex]], Vertices[], MATCH("ID", Vertices[#Headers], 0), FALSE)</f>
        <v>6</v>
      </c>
    </row>
    <row r="157" spans="1:3" x14ac:dyDescent="0.3">
      <c r="A157" s="145" t="s">
        <v>759</v>
      </c>
      <c r="B157" s="150" t="s">
        <v>363</v>
      </c>
      <c r="C157" s="145">
        <f>VLOOKUP(GroupVertices[[#This Row],[Vertex]], Vertices[], MATCH("ID", Vertices[#Headers], 0), FALSE)</f>
        <v>215</v>
      </c>
    </row>
    <row r="158" spans="1:3" x14ac:dyDescent="0.3">
      <c r="A158" s="145" t="s">
        <v>759</v>
      </c>
      <c r="B158" s="150" t="s">
        <v>213</v>
      </c>
      <c r="C158" s="145">
        <f>VLOOKUP(GroupVertices[[#This Row],[Vertex]], Vertices[], MATCH("ID", Vertices[#Headers], 0), FALSE)</f>
        <v>127</v>
      </c>
    </row>
    <row r="159" spans="1:3" x14ac:dyDescent="0.3">
      <c r="A159" s="145" t="s">
        <v>759</v>
      </c>
      <c r="B159" s="150" t="s">
        <v>361</v>
      </c>
      <c r="C159" s="145">
        <f>VLOOKUP(GroupVertices[[#This Row],[Vertex]], Vertices[], MATCH("ID", Vertices[#Headers], 0), FALSE)</f>
        <v>172</v>
      </c>
    </row>
    <row r="160" spans="1:3" x14ac:dyDescent="0.3">
      <c r="A160" s="145" t="s">
        <v>759</v>
      </c>
      <c r="B160" s="150" t="s">
        <v>359</v>
      </c>
      <c r="C160" s="145">
        <f>VLOOKUP(GroupVertices[[#This Row],[Vertex]], Vertices[], MATCH("ID", Vertices[#Headers], 0), FALSE)</f>
        <v>74</v>
      </c>
    </row>
    <row r="161" spans="1:3" x14ac:dyDescent="0.3">
      <c r="A161" s="145" t="s">
        <v>759</v>
      </c>
      <c r="B161" s="150" t="s">
        <v>358</v>
      </c>
      <c r="C161" s="145">
        <f>VLOOKUP(GroupVertices[[#This Row],[Vertex]], Vertices[], MATCH("ID", Vertices[#Headers], 0), FALSE)</f>
        <v>43</v>
      </c>
    </row>
    <row r="162" spans="1:3" x14ac:dyDescent="0.3">
      <c r="A162" s="145" t="s">
        <v>759</v>
      </c>
      <c r="B162" s="150" t="s">
        <v>362</v>
      </c>
      <c r="C162" s="145">
        <f>VLOOKUP(GroupVertices[[#This Row],[Vertex]], Vertices[], MATCH("ID", Vertices[#Headers], 0), FALSE)</f>
        <v>209</v>
      </c>
    </row>
    <row r="163" spans="1:3" x14ac:dyDescent="0.3">
      <c r="A163" s="145" t="s">
        <v>759</v>
      </c>
      <c r="B163" s="150" t="s">
        <v>215</v>
      </c>
      <c r="C163" s="145">
        <f>VLOOKUP(GroupVertices[[#This Row],[Vertex]], Vertices[], MATCH("ID", Vertices[#Headers], 0), FALSE)</f>
        <v>134</v>
      </c>
    </row>
    <row r="164" spans="1:3" x14ac:dyDescent="0.3">
      <c r="A164" s="145" t="s">
        <v>759</v>
      </c>
      <c r="B164" s="150" t="s">
        <v>280</v>
      </c>
      <c r="C164" s="145">
        <f>VLOOKUP(GroupVertices[[#This Row],[Vertex]], Vertices[], MATCH("ID", Vertices[#Headers], 0), FALSE)</f>
        <v>186</v>
      </c>
    </row>
    <row r="165" spans="1:3" x14ac:dyDescent="0.3">
      <c r="A165" s="145" t="s">
        <v>759</v>
      </c>
      <c r="B165" s="150" t="s">
        <v>279</v>
      </c>
      <c r="C165" s="145">
        <f>VLOOKUP(GroupVertices[[#This Row],[Vertex]], Vertices[], MATCH("ID", Vertices[#Headers], 0), FALSE)</f>
        <v>181</v>
      </c>
    </row>
    <row r="166" spans="1:3" x14ac:dyDescent="0.3">
      <c r="A166" s="145" t="s">
        <v>759</v>
      </c>
      <c r="B166" s="150" t="s">
        <v>278</v>
      </c>
      <c r="C166" s="145">
        <f>VLOOKUP(GroupVertices[[#This Row],[Vertex]], Vertices[], MATCH("ID", Vertices[#Headers], 0), FALSE)</f>
        <v>192</v>
      </c>
    </row>
    <row r="167" spans="1:3" x14ac:dyDescent="0.3">
      <c r="A167" s="145" t="s">
        <v>759</v>
      </c>
      <c r="B167" s="150" t="s">
        <v>276</v>
      </c>
      <c r="C167" s="145">
        <f>VLOOKUP(GroupVertices[[#This Row],[Vertex]], Vertices[], MATCH("ID", Vertices[#Headers], 0), FALSE)</f>
        <v>238</v>
      </c>
    </row>
    <row r="168" spans="1:3" x14ac:dyDescent="0.3">
      <c r="A168" s="145" t="s">
        <v>759</v>
      </c>
      <c r="B168" s="150" t="s">
        <v>275</v>
      </c>
      <c r="C168" s="145">
        <f>VLOOKUP(GroupVertices[[#This Row],[Vertex]], Vertices[], MATCH("ID", Vertices[#Headers], 0), FALSE)</f>
        <v>58</v>
      </c>
    </row>
    <row r="169" spans="1:3" x14ac:dyDescent="0.3">
      <c r="A169" s="145" t="s">
        <v>759</v>
      </c>
      <c r="B169" s="150" t="s">
        <v>274</v>
      </c>
      <c r="C169" s="145">
        <f>VLOOKUP(GroupVertices[[#This Row],[Vertex]], Vertices[], MATCH("ID", Vertices[#Headers], 0), FALSE)</f>
        <v>183</v>
      </c>
    </row>
    <row r="170" spans="1:3" x14ac:dyDescent="0.3">
      <c r="A170" s="145" t="s">
        <v>759</v>
      </c>
      <c r="B170" s="150" t="s">
        <v>273</v>
      </c>
      <c r="C170" s="145">
        <f>VLOOKUP(GroupVertices[[#This Row],[Vertex]], Vertices[], MATCH("ID", Vertices[#Headers], 0), FALSE)</f>
        <v>249</v>
      </c>
    </row>
    <row r="171" spans="1:3" x14ac:dyDescent="0.3">
      <c r="A171" s="145" t="s">
        <v>759</v>
      </c>
      <c r="B171" s="150" t="s">
        <v>272</v>
      </c>
      <c r="C171" s="145">
        <f>VLOOKUP(GroupVertices[[#This Row],[Vertex]], Vertices[], MATCH("ID", Vertices[#Headers], 0), FALSE)</f>
        <v>120</v>
      </c>
    </row>
    <row r="172" spans="1:3" x14ac:dyDescent="0.3">
      <c r="A172" s="145" t="s">
        <v>760</v>
      </c>
      <c r="B172" s="150" t="s">
        <v>384</v>
      </c>
      <c r="C172" s="145">
        <f>VLOOKUP(GroupVertices[[#This Row],[Vertex]], Vertices[], MATCH("ID", Vertices[#Headers], 0), FALSE)</f>
        <v>132</v>
      </c>
    </row>
    <row r="173" spans="1:3" x14ac:dyDescent="0.3">
      <c r="A173" s="145" t="s">
        <v>760</v>
      </c>
      <c r="B173" s="150" t="s">
        <v>196</v>
      </c>
      <c r="C173" s="145">
        <f>VLOOKUP(GroupVertices[[#This Row],[Vertex]], Vertices[], MATCH("ID", Vertices[#Headers], 0), FALSE)</f>
        <v>154</v>
      </c>
    </row>
    <row r="174" spans="1:3" x14ac:dyDescent="0.3">
      <c r="A174" s="145" t="s">
        <v>760</v>
      </c>
      <c r="B174" s="150" t="s">
        <v>188</v>
      </c>
      <c r="C174" s="145">
        <f>VLOOKUP(GroupVertices[[#This Row],[Vertex]], Vertices[], MATCH("ID", Vertices[#Headers], 0), FALSE)</f>
        <v>153</v>
      </c>
    </row>
    <row r="175" spans="1:3" x14ac:dyDescent="0.3">
      <c r="A175" s="145" t="s">
        <v>760</v>
      </c>
      <c r="B175" s="150" t="s">
        <v>189</v>
      </c>
      <c r="C175" s="145">
        <f>VLOOKUP(GroupVertices[[#This Row],[Vertex]], Vertices[], MATCH("ID", Vertices[#Headers], 0), FALSE)</f>
        <v>223</v>
      </c>
    </row>
    <row r="176" spans="1:3" x14ac:dyDescent="0.3">
      <c r="A176" s="145" t="s">
        <v>760</v>
      </c>
      <c r="B176" s="150" t="s">
        <v>198</v>
      </c>
      <c r="C176" s="145">
        <f>VLOOKUP(GroupVertices[[#This Row],[Vertex]], Vertices[], MATCH("ID", Vertices[#Headers], 0), FALSE)</f>
        <v>213</v>
      </c>
    </row>
    <row r="177" spans="1:3" x14ac:dyDescent="0.3">
      <c r="A177" s="145" t="s">
        <v>760</v>
      </c>
      <c r="B177" s="150" t="s">
        <v>191</v>
      </c>
      <c r="C177" s="145">
        <f>VLOOKUP(GroupVertices[[#This Row],[Vertex]], Vertices[], MATCH("ID", Vertices[#Headers], 0), FALSE)</f>
        <v>157</v>
      </c>
    </row>
    <row r="178" spans="1:3" x14ac:dyDescent="0.3">
      <c r="A178" s="145" t="s">
        <v>760</v>
      </c>
      <c r="B178" s="150" t="s">
        <v>201</v>
      </c>
      <c r="C178" s="145">
        <f>VLOOKUP(GroupVertices[[#This Row],[Vertex]], Vertices[], MATCH("ID", Vertices[#Headers], 0), FALSE)</f>
        <v>193</v>
      </c>
    </row>
    <row r="179" spans="1:3" x14ac:dyDescent="0.3">
      <c r="A179" s="145" t="s">
        <v>760</v>
      </c>
      <c r="B179" s="150" t="s">
        <v>204</v>
      </c>
      <c r="C179" s="145">
        <f>VLOOKUP(GroupVertices[[#This Row],[Vertex]], Vertices[], MATCH("ID", Vertices[#Headers], 0), FALSE)</f>
        <v>221</v>
      </c>
    </row>
    <row r="180" spans="1:3" x14ac:dyDescent="0.3">
      <c r="A180" s="145" t="s">
        <v>760</v>
      </c>
      <c r="B180" s="150" t="s">
        <v>195</v>
      </c>
      <c r="C180" s="145">
        <f>VLOOKUP(GroupVertices[[#This Row],[Vertex]], Vertices[], MATCH("ID", Vertices[#Headers], 0), FALSE)</f>
        <v>44</v>
      </c>
    </row>
    <row r="181" spans="1:3" x14ac:dyDescent="0.3">
      <c r="A181" s="145" t="s">
        <v>760</v>
      </c>
      <c r="B181" s="150" t="s">
        <v>243</v>
      </c>
      <c r="C181" s="145">
        <f>VLOOKUP(GroupVertices[[#This Row],[Vertex]], Vertices[], MATCH("ID", Vertices[#Headers], 0), FALSE)</f>
        <v>18</v>
      </c>
    </row>
    <row r="182" spans="1:3" x14ac:dyDescent="0.3">
      <c r="A182" s="145" t="s">
        <v>760</v>
      </c>
      <c r="B182" s="150" t="s">
        <v>295</v>
      </c>
      <c r="C182" s="145">
        <f>VLOOKUP(GroupVertices[[#This Row],[Vertex]], Vertices[], MATCH("ID", Vertices[#Headers], 0), FALSE)</f>
        <v>152</v>
      </c>
    </row>
    <row r="183" spans="1:3" x14ac:dyDescent="0.3">
      <c r="A183" s="145" t="s">
        <v>760</v>
      </c>
      <c r="B183" s="150" t="s">
        <v>294</v>
      </c>
      <c r="C183" s="145">
        <f>VLOOKUP(GroupVertices[[#This Row],[Vertex]], Vertices[], MATCH("ID", Vertices[#Headers], 0), FALSE)</f>
        <v>151</v>
      </c>
    </row>
    <row r="184" spans="1:3" x14ac:dyDescent="0.3">
      <c r="A184" s="145" t="s">
        <v>760</v>
      </c>
      <c r="B184" s="150" t="s">
        <v>293</v>
      </c>
      <c r="C184" s="145">
        <f>VLOOKUP(GroupVertices[[#This Row],[Vertex]], Vertices[], MATCH("ID", Vertices[#Headers], 0), FALSE)</f>
        <v>82</v>
      </c>
    </row>
    <row r="185" spans="1:3" x14ac:dyDescent="0.3">
      <c r="A185" s="145" t="s">
        <v>760</v>
      </c>
      <c r="B185" s="150" t="s">
        <v>292</v>
      </c>
      <c r="C185" s="145">
        <f>VLOOKUP(GroupVertices[[#This Row],[Vertex]], Vertices[], MATCH("ID", Vertices[#Headers], 0), FALSE)</f>
        <v>160</v>
      </c>
    </row>
    <row r="186" spans="1:3" x14ac:dyDescent="0.3">
      <c r="A186" s="145" t="s">
        <v>760</v>
      </c>
      <c r="B186" s="150" t="s">
        <v>211</v>
      </c>
      <c r="C186" s="145">
        <f>VLOOKUP(GroupVertices[[#This Row],[Vertex]], Vertices[], MATCH("ID", Vertices[#Headers], 0), FALSE)</f>
        <v>23</v>
      </c>
    </row>
    <row r="187" spans="1:3" x14ac:dyDescent="0.3">
      <c r="A187" s="145" t="s">
        <v>760</v>
      </c>
      <c r="B187" s="150" t="s">
        <v>227</v>
      </c>
      <c r="C187" s="145">
        <f>VLOOKUP(GroupVertices[[#This Row],[Vertex]], Vertices[], MATCH("ID", Vertices[#Headers], 0), FALSE)</f>
        <v>33</v>
      </c>
    </row>
    <row r="188" spans="1:3" x14ac:dyDescent="0.3">
      <c r="A188" s="145" t="s">
        <v>760</v>
      </c>
      <c r="B188" s="150" t="s">
        <v>192</v>
      </c>
      <c r="C188" s="145">
        <f>VLOOKUP(GroupVertices[[#This Row],[Vertex]], Vertices[], MATCH("ID", Vertices[#Headers], 0), FALSE)</f>
        <v>126</v>
      </c>
    </row>
    <row r="189" spans="1:3" x14ac:dyDescent="0.3">
      <c r="A189" s="145" t="s">
        <v>761</v>
      </c>
      <c r="B189" s="150" t="s">
        <v>194</v>
      </c>
      <c r="C189" s="145">
        <f>VLOOKUP(GroupVertices[[#This Row],[Vertex]], Vertices[], MATCH("ID", Vertices[#Headers], 0), FALSE)</f>
        <v>41</v>
      </c>
    </row>
    <row r="190" spans="1:3" x14ac:dyDescent="0.3">
      <c r="A190" s="145" t="s">
        <v>761</v>
      </c>
      <c r="B190" s="150" t="s">
        <v>325</v>
      </c>
      <c r="C190" s="145">
        <f>VLOOKUP(GroupVertices[[#This Row],[Vertex]], Vertices[], MATCH("ID", Vertices[#Headers], 0), FALSE)</f>
        <v>168</v>
      </c>
    </row>
    <row r="191" spans="1:3" x14ac:dyDescent="0.3">
      <c r="A191" s="145" t="s">
        <v>761</v>
      </c>
      <c r="B191" s="150" t="s">
        <v>193</v>
      </c>
      <c r="C191" s="145">
        <f>VLOOKUP(GroupVertices[[#This Row],[Vertex]], Vertices[], MATCH("ID", Vertices[#Headers], 0), FALSE)</f>
        <v>133</v>
      </c>
    </row>
    <row r="192" spans="1:3" x14ac:dyDescent="0.3">
      <c r="A192" s="145" t="s">
        <v>761</v>
      </c>
      <c r="B192" s="150" t="s">
        <v>239</v>
      </c>
      <c r="C192" s="145">
        <f>VLOOKUP(GroupVertices[[#This Row],[Vertex]], Vertices[], MATCH("ID", Vertices[#Headers], 0), FALSE)</f>
        <v>198</v>
      </c>
    </row>
    <row r="193" spans="1:3" x14ac:dyDescent="0.3">
      <c r="A193" s="145" t="s">
        <v>761</v>
      </c>
      <c r="B193" s="150" t="s">
        <v>327</v>
      </c>
      <c r="C193" s="145">
        <f>VLOOKUP(GroupVertices[[#This Row],[Vertex]], Vertices[], MATCH("ID", Vertices[#Headers], 0), FALSE)</f>
        <v>125</v>
      </c>
    </row>
    <row r="194" spans="1:3" x14ac:dyDescent="0.3">
      <c r="A194" s="145" t="s">
        <v>761</v>
      </c>
      <c r="B194" s="150" t="s">
        <v>236</v>
      </c>
      <c r="C194" s="145">
        <f>VLOOKUP(GroupVertices[[#This Row],[Vertex]], Vertices[], MATCH("ID", Vertices[#Headers], 0), FALSE)</f>
        <v>65</v>
      </c>
    </row>
    <row r="195" spans="1:3" x14ac:dyDescent="0.3">
      <c r="A195" s="145" t="s">
        <v>761</v>
      </c>
      <c r="B195" s="150" t="s">
        <v>344</v>
      </c>
      <c r="C195" s="145">
        <f>VLOOKUP(GroupVertices[[#This Row],[Vertex]], Vertices[], MATCH("ID", Vertices[#Headers], 0), FALSE)</f>
        <v>102</v>
      </c>
    </row>
    <row r="196" spans="1:3" x14ac:dyDescent="0.3">
      <c r="A196" s="145" t="s">
        <v>761</v>
      </c>
      <c r="B196" s="150" t="s">
        <v>241</v>
      </c>
      <c r="C196" s="145">
        <f>VLOOKUP(GroupVertices[[#This Row],[Vertex]], Vertices[], MATCH("ID", Vertices[#Headers], 0), FALSE)</f>
        <v>90</v>
      </c>
    </row>
    <row r="197" spans="1:3" x14ac:dyDescent="0.3">
      <c r="A197" s="145" t="s">
        <v>761</v>
      </c>
      <c r="B197" s="150" t="s">
        <v>331</v>
      </c>
      <c r="C197" s="145">
        <f>VLOOKUP(GroupVertices[[#This Row],[Vertex]], Vertices[], MATCH("ID", Vertices[#Headers], 0), FALSE)</f>
        <v>38</v>
      </c>
    </row>
    <row r="198" spans="1:3" x14ac:dyDescent="0.3">
      <c r="A198" s="145" t="s">
        <v>761</v>
      </c>
      <c r="B198" s="150" t="s">
        <v>219</v>
      </c>
      <c r="C198" s="145">
        <f>VLOOKUP(GroupVertices[[#This Row],[Vertex]], Vertices[], MATCH("ID", Vertices[#Headers], 0), FALSE)</f>
        <v>40</v>
      </c>
    </row>
    <row r="199" spans="1:3" x14ac:dyDescent="0.3">
      <c r="A199" s="145" t="s">
        <v>761</v>
      </c>
      <c r="B199" s="150" t="s">
        <v>237</v>
      </c>
      <c r="C199" s="145">
        <f>VLOOKUP(GroupVertices[[#This Row],[Vertex]], Vertices[], MATCH("ID", Vertices[#Headers], 0), FALSE)</f>
        <v>94</v>
      </c>
    </row>
    <row r="200" spans="1:3" x14ac:dyDescent="0.3">
      <c r="A200" s="145" t="s">
        <v>761</v>
      </c>
      <c r="B200" s="150" t="s">
        <v>218</v>
      </c>
      <c r="C200" s="145">
        <f>VLOOKUP(GroupVertices[[#This Row],[Vertex]], Vertices[], MATCH("ID", Vertices[#Headers], 0), FALSE)</f>
        <v>229</v>
      </c>
    </row>
    <row r="201" spans="1:3" x14ac:dyDescent="0.3">
      <c r="A201" s="145" t="s">
        <v>761</v>
      </c>
      <c r="B201" s="150" t="s">
        <v>242</v>
      </c>
      <c r="C201" s="145">
        <f>VLOOKUP(GroupVertices[[#This Row],[Vertex]], Vertices[], MATCH("ID", Vertices[#Headers], 0), FALSE)</f>
        <v>226</v>
      </c>
    </row>
    <row r="202" spans="1:3" x14ac:dyDescent="0.3">
      <c r="A202" s="145" t="s">
        <v>761</v>
      </c>
      <c r="B202" s="150" t="s">
        <v>230</v>
      </c>
      <c r="C202" s="145">
        <f>VLOOKUP(GroupVertices[[#This Row],[Vertex]], Vertices[], MATCH("ID", Vertices[#Headers], 0), FALSE)</f>
        <v>159</v>
      </c>
    </row>
    <row r="203" spans="1:3" x14ac:dyDescent="0.3">
      <c r="A203" s="145" t="s">
        <v>761</v>
      </c>
      <c r="B203" s="150" t="s">
        <v>329</v>
      </c>
      <c r="C203" s="145">
        <f>VLOOKUP(GroupVertices[[#This Row],[Vertex]], Vertices[], MATCH("ID", Vertices[#Headers], 0), FALSE)</f>
        <v>93</v>
      </c>
    </row>
    <row r="204" spans="1:3" x14ac:dyDescent="0.3">
      <c r="A204" s="145" t="s">
        <v>761</v>
      </c>
      <c r="B204" s="150" t="s">
        <v>332</v>
      </c>
      <c r="C204" s="145">
        <f>VLOOKUP(GroupVertices[[#This Row],[Vertex]], Vertices[], MATCH("ID", Vertices[#Headers], 0), FALSE)</f>
        <v>194</v>
      </c>
    </row>
    <row r="205" spans="1:3" x14ac:dyDescent="0.3">
      <c r="A205" s="145" t="s">
        <v>761</v>
      </c>
      <c r="B205" s="150" t="s">
        <v>333</v>
      </c>
      <c r="C205" s="145">
        <f>VLOOKUP(GroupVertices[[#This Row],[Vertex]], Vertices[], MATCH("ID", Vertices[#Headers], 0), FALSE)</f>
        <v>122</v>
      </c>
    </row>
    <row r="206" spans="1:3" x14ac:dyDescent="0.3">
      <c r="A206" s="145" t="s">
        <v>762</v>
      </c>
      <c r="B206" s="150" t="s">
        <v>374</v>
      </c>
      <c r="C206" s="145">
        <f>VLOOKUP(GroupVertices[[#This Row],[Vertex]], Vertices[], MATCH("ID", Vertices[#Headers], 0), FALSE)</f>
        <v>146</v>
      </c>
    </row>
    <row r="207" spans="1:3" x14ac:dyDescent="0.3">
      <c r="A207" s="145" t="s">
        <v>762</v>
      </c>
      <c r="B207" s="150" t="s">
        <v>388</v>
      </c>
      <c r="C207" s="145">
        <f>VLOOKUP(GroupVertices[[#This Row],[Vertex]], Vertices[], MATCH("ID", Vertices[#Headers], 0), FALSE)</f>
        <v>174</v>
      </c>
    </row>
    <row r="208" spans="1:3" x14ac:dyDescent="0.3">
      <c r="A208" s="145" t="s">
        <v>762</v>
      </c>
      <c r="B208" s="150" t="s">
        <v>387</v>
      </c>
      <c r="C208" s="145">
        <f>VLOOKUP(GroupVertices[[#This Row],[Vertex]], Vertices[], MATCH("ID", Vertices[#Headers], 0), FALSE)</f>
        <v>188</v>
      </c>
    </row>
    <row r="209" spans="1:3" x14ac:dyDescent="0.3">
      <c r="A209" s="145" t="s">
        <v>762</v>
      </c>
      <c r="B209" s="150" t="s">
        <v>393</v>
      </c>
      <c r="C209" s="145">
        <f>VLOOKUP(GroupVertices[[#This Row],[Vertex]], Vertices[], MATCH("ID", Vertices[#Headers], 0), FALSE)</f>
        <v>185</v>
      </c>
    </row>
    <row r="210" spans="1:3" x14ac:dyDescent="0.3">
      <c r="A210" s="145" t="s">
        <v>762</v>
      </c>
      <c r="B210" s="150" t="s">
        <v>199</v>
      </c>
      <c r="C210" s="145">
        <f>VLOOKUP(GroupVertices[[#This Row],[Vertex]], Vertices[], MATCH("ID", Vertices[#Headers], 0), FALSE)</f>
        <v>177</v>
      </c>
    </row>
    <row r="211" spans="1:3" x14ac:dyDescent="0.3">
      <c r="A211" s="145" t="s">
        <v>762</v>
      </c>
      <c r="B211" s="150" t="s">
        <v>563</v>
      </c>
      <c r="C211" s="145">
        <f>VLOOKUP(GroupVertices[[#This Row],[Vertex]], Vertices[], MATCH("ID", Vertices[#Headers], 0), FALSE)</f>
        <v>63</v>
      </c>
    </row>
    <row r="212" spans="1:3" x14ac:dyDescent="0.3">
      <c r="A212" s="145" t="s">
        <v>762</v>
      </c>
      <c r="B212" s="150" t="s">
        <v>235</v>
      </c>
      <c r="C212" s="145">
        <f>VLOOKUP(GroupVertices[[#This Row],[Vertex]], Vertices[], MATCH("ID", Vertices[#Headers], 0), FALSE)</f>
        <v>59</v>
      </c>
    </row>
    <row r="213" spans="1:3" x14ac:dyDescent="0.3">
      <c r="A213" s="145" t="s">
        <v>762</v>
      </c>
      <c r="B213" s="150" t="s">
        <v>586</v>
      </c>
      <c r="C213" s="145">
        <f>VLOOKUP(GroupVertices[[#This Row],[Vertex]], Vertices[], MATCH("ID", Vertices[#Headers], 0), FALSE)</f>
        <v>22</v>
      </c>
    </row>
    <row r="214" spans="1:3" x14ac:dyDescent="0.3">
      <c r="A214" s="145" t="s">
        <v>762</v>
      </c>
      <c r="B214" s="150" t="s">
        <v>573</v>
      </c>
      <c r="C214" s="145">
        <f>VLOOKUP(GroupVertices[[#This Row],[Vertex]], Vertices[], MATCH("ID", Vertices[#Headers], 0), FALSE)</f>
        <v>99</v>
      </c>
    </row>
    <row r="215" spans="1:3" x14ac:dyDescent="0.3">
      <c r="A215" s="145" t="s">
        <v>762</v>
      </c>
      <c r="B215" s="150" t="s">
        <v>572</v>
      </c>
      <c r="C215" s="145">
        <f>VLOOKUP(GroupVertices[[#This Row],[Vertex]], Vertices[], MATCH("ID", Vertices[#Headers], 0), FALSE)</f>
        <v>84</v>
      </c>
    </row>
    <row r="216" spans="1:3" x14ac:dyDescent="0.3">
      <c r="A216" s="145" t="s">
        <v>762</v>
      </c>
      <c r="B216" s="150" t="s">
        <v>564</v>
      </c>
      <c r="C216" s="145">
        <f>VLOOKUP(GroupVertices[[#This Row],[Vertex]], Vertices[], MATCH("ID", Vertices[#Headers], 0), FALSE)</f>
        <v>175</v>
      </c>
    </row>
    <row r="217" spans="1:3" x14ac:dyDescent="0.3">
      <c r="A217" s="145" t="s">
        <v>762</v>
      </c>
      <c r="B217" s="150" t="s">
        <v>571</v>
      </c>
      <c r="C217" s="145">
        <f>VLOOKUP(GroupVertices[[#This Row],[Vertex]], Vertices[], MATCH("ID", Vertices[#Headers], 0), FALSE)</f>
        <v>105</v>
      </c>
    </row>
    <row r="218" spans="1:3" x14ac:dyDescent="0.3">
      <c r="A218" s="145" t="s">
        <v>762</v>
      </c>
      <c r="B218" s="150" t="s">
        <v>560</v>
      </c>
      <c r="C218" s="145">
        <f>VLOOKUP(GroupVertices[[#This Row],[Vertex]], Vertices[], MATCH("ID", Vertices[#Headers], 0), FALSE)</f>
        <v>196</v>
      </c>
    </row>
    <row r="219" spans="1:3" x14ac:dyDescent="0.3">
      <c r="A219" s="145" t="s">
        <v>762</v>
      </c>
      <c r="B219" s="150" t="s">
        <v>565</v>
      </c>
      <c r="C219" s="145">
        <f>VLOOKUP(GroupVertices[[#This Row],[Vertex]], Vertices[], MATCH("ID", Vertices[#Headers], 0), FALSE)</f>
        <v>246</v>
      </c>
    </row>
    <row r="220" spans="1:3" x14ac:dyDescent="0.3">
      <c r="A220" s="145" t="s">
        <v>762</v>
      </c>
      <c r="B220" s="150" t="s">
        <v>574</v>
      </c>
      <c r="C220" s="145">
        <f>VLOOKUP(GroupVertices[[#This Row],[Vertex]], Vertices[], MATCH("ID", Vertices[#Headers], 0), FALSE)</f>
        <v>14</v>
      </c>
    </row>
    <row r="221" spans="1:3" x14ac:dyDescent="0.3">
      <c r="A221" s="145" t="s">
        <v>762</v>
      </c>
      <c r="B221" s="150" t="s">
        <v>328</v>
      </c>
      <c r="C221" s="145">
        <f>VLOOKUP(GroupVertices[[#This Row],[Vertex]], Vertices[], MATCH("ID", Vertices[#Headers], 0), FALSE)</f>
        <v>109</v>
      </c>
    </row>
    <row r="222" spans="1:3" x14ac:dyDescent="0.3">
      <c r="A222" s="145" t="s">
        <v>763</v>
      </c>
      <c r="B222" s="150" t="s">
        <v>297</v>
      </c>
      <c r="C222" s="145">
        <f>VLOOKUP(GroupVertices[[#This Row],[Vertex]], Vertices[], MATCH("ID", Vertices[#Headers], 0), FALSE)</f>
        <v>167</v>
      </c>
    </row>
    <row r="223" spans="1:3" x14ac:dyDescent="0.3">
      <c r="A223" s="145" t="s">
        <v>763</v>
      </c>
      <c r="B223" s="150" t="s">
        <v>395</v>
      </c>
      <c r="C223" s="145">
        <f>VLOOKUP(GroupVertices[[#This Row],[Vertex]], Vertices[], MATCH("ID", Vertices[#Headers], 0), FALSE)</f>
        <v>214</v>
      </c>
    </row>
    <row r="224" spans="1:3" x14ac:dyDescent="0.3">
      <c r="A224" s="145" t="s">
        <v>763</v>
      </c>
      <c r="B224" s="150" t="s">
        <v>562</v>
      </c>
      <c r="C224" s="145">
        <f>VLOOKUP(GroupVertices[[#This Row],[Vertex]], Vertices[], MATCH("ID", Vertices[#Headers], 0), FALSE)</f>
        <v>53</v>
      </c>
    </row>
    <row r="225" spans="1:3" x14ac:dyDescent="0.3">
      <c r="A225" s="145" t="s">
        <v>763</v>
      </c>
      <c r="B225" s="150" t="s">
        <v>396</v>
      </c>
      <c r="C225" s="145">
        <f>VLOOKUP(GroupVertices[[#This Row],[Vertex]], Vertices[], MATCH("ID", Vertices[#Headers], 0), FALSE)</f>
        <v>217</v>
      </c>
    </row>
    <row r="226" spans="1:3" x14ac:dyDescent="0.3">
      <c r="A226" s="145" t="s">
        <v>763</v>
      </c>
      <c r="B226" s="150" t="s">
        <v>300</v>
      </c>
      <c r="C226" s="145">
        <f>VLOOKUP(GroupVertices[[#This Row],[Vertex]], Vertices[], MATCH("ID", Vertices[#Headers], 0), FALSE)</f>
        <v>145</v>
      </c>
    </row>
    <row r="227" spans="1:3" x14ac:dyDescent="0.3">
      <c r="A227" s="145" t="s">
        <v>763</v>
      </c>
      <c r="B227" s="150" t="s">
        <v>234</v>
      </c>
      <c r="C227" s="145">
        <f>VLOOKUP(GroupVertices[[#This Row],[Vertex]], Vertices[], MATCH("ID", Vertices[#Headers], 0), FALSE)</f>
        <v>240</v>
      </c>
    </row>
    <row r="228" spans="1:3" x14ac:dyDescent="0.3">
      <c r="A228" s="145" t="s">
        <v>763</v>
      </c>
      <c r="B228" s="150" t="s">
        <v>360</v>
      </c>
      <c r="C228" s="145">
        <f>VLOOKUP(GroupVertices[[#This Row],[Vertex]], Vertices[], MATCH("ID", Vertices[#Headers], 0), FALSE)</f>
        <v>86</v>
      </c>
    </row>
    <row r="229" spans="1:3" x14ac:dyDescent="0.3">
      <c r="A229" s="145" t="s">
        <v>763</v>
      </c>
      <c r="B229" s="150" t="s">
        <v>232</v>
      </c>
      <c r="C229" s="145">
        <f>VLOOKUP(GroupVertices[[#This Row],[Vertex]], Vertices[], MATCH("ID", Vertices[#Headers], 0), FALSE)</f>
        <v>204</v>
      </c>
    </row>
    <row r="230" spans="1:3" x14ac:dyDescent="0.3">
      <c r="A230" s="145" t="s">
        <v>763</v>
      </c>
      <c r="B230" s="150" t="s">
        <v>296</v>
      </c>
      <c r="C230" s="145">
        <f>VLOOKUP(GroupVertices[[#This Row],[Vertex]], Vertices[], MATCH("ID", Vertices[#Headers], 0), FALSE)</f>
        <v>205</v>
      </c>
    </row>
    <row r="231" spans="1:3" x14ac:dyDescent="0.3">
      <c r="A231" s="145" t="s">
        <v>763</v>
      </c>
      <c r="B231" s="150" t="s">
        <v>299</v>
      </c>
      <c r="C231" s="145">
        <f>VLOOKUP(GroupVertices[[#This Row],[Vertex]], Vertices[], MATCH("ID", Vertices[#Headers], 0), FALSE)</f>
        <v>203</v>
      </c>
    </row>
    <row r="232" spans="1:3" x14ac:dyDescent="0.3">
      <c r="A232" s="145" t="s">
        <v>763</v>
      </c>
      <c r="B232" s="150" t="s">
        <v>298</v>
      </c>
      <c r="C232" s="145">
        <f>VLOOKUP(GroupVertices[[#This Row],[Vertex]], Vertices[], MATCH("ID", Vertices[#Headers], 0), FALSE)</f>
        <v>150</v>
      </c>
    </row>
    <row r="233" spans="1:3" x14ac:dyDescent="0.3">
      <c r="A233" s="145" t="s">
        <v>764</v>
      </c>
      <c r="B233" s="150" t="s">
        <v>228</v>
      </c>
      <c r="C233" s="145">
        <f>VLOOKUP(GroupVertices[[#This Row],[Vertex]], Vertices[], MATCH("ID", Vertices[#Headers], 0), FALSE)</f>
        <v>235</v>
      </c>
    </row>
    <row r="234" spans="1:3" x14ac:dyDescent="0.3">
      <c r="A234" s="145" t="s">
        <v>764</v>
      </c>
      <c r="B234" s="150" t="s">
        <v>287</v>
      </c>
      <c r="C234" s="145">
        <f>VLOOKUP(GroupVertices[[#This Row],[Vertex]], Vertices[], MATCH("ID", Vertices[#Headers], 0), FALSE)</f>
        <v>116</v>
      </c>
    </row>
    <row r="235" spans="1:3" x14ac:dyDescent="0.3">
      <c r="A235" s="145" t="s">
        <v>764</v>
      </c>
      <c r="B235" s="150" t="s">
        <v>290</v>
      </c>
      <c r="C235" s="145">
        <f>VLOOKUP(GroupVertices[[#This Row],[Vertex]], Vertices[], MATCH("ID", Vertices[#Headers], 0), FALSE)</f>
        <v>48</v>
      </c>
    </row>
    <row r="236" spans="1:3" x14ac:dyDescent="0.3">
      <c r="A236" s="145" t="s">
        <v>764</v>
      </c>
      <c r="B236" s="150" t="s">
        <v>289</v>
      </c>
      <c r="C236" s="145">
        <f>VLOOKUP(GroupVertices[[#This Row],[Vertex]], Vertices[], MATCH("ID", Vertices[#Headers], 0), FALSE)</f>
        <v>228</v>
      </c>
    </row>
    <row r="237" spans="1:3" x14ac:dyDescent="0.3">
      <c r="A237" s="145" t="s">
        <v>764</v>
      </c>
      <c r="B237" s="150" t="s">
        <v>288</v>
      </c>
      <c r="C237" s="145">
        <f>VLOOKUP(GroupVertices[[#This Row],[Vertex]], Vertices[], MATCH("ID", Vertices[#Headers], 0), FALSE)</f>
        <v>76</v>
      </c>
    </row>
    <row r="238" spans="1:3" x14ac:dyDescent="0.3">
      <c r="A238" s="145" t="s">
        <v>764</v>
      </c>
      <c r="B238" s="150" t="s">
        <v>339</v>
      </c>
      <c r="C238" s="145">
        <f>VLOOKUP(GroupVertices[[#This Row],[Vertex]], Vertices[], MATCH("ID", Vertices[#Headers], 0), FALSE)</f>
        <v>170</v>
      </c>
    </row>
    <row r="239" spans="1:3" x14ac:dyDescent="0.3">
      <c r="A239" s="145" t="s">
        <v>764</v>
      </c>
      <c r="B239" s="150" t="s">
        <v>338</v>
      </c>
      <c r="C239" s="145">
        <f>VLOOKUP(GroupVertices[[#This Row],[Vertex]], Vertices[], MATCH("ID", Vertices[#Headers], 0), FALSE)</f>
        <v>206</v>
      </c>
    </row>
    <row r="240" spans="1:3" x14ac:dyDescent="0.3">
      <c r="A240" s="145" t="s">
        <v>764</v>
      </c>
      <c r="B240" s="150" t="s">
        <v>337</v>
      </c>
      <c r="C240" s="145">
        <f>VLOOKUP(GroupVertices[[#This Row],[Vertex]], Vertices[], MATCH("ID", Vertices[#Headers], 0), FALSE)</f>
        <v>176</v>
      </c>
    </row>
    <row r="241" spans="1:3" x14ac:dyDescent="0.3">
      <c r="A241" s="145" t="s">
        <v>764</v>
      </c>
      <c r="B241" s="150" t="s">
        <v>336</v>
      </c>
      <c r="C241" s="145">
        <f>VLOOKUP(GroupVertices[[#This Row],[Vertex]], Vertices[], MATCH("ID", Vertices[#Headers], 0), FALSE)</f>
        <v>50</v>
      </c>
    </row>
    <row r="242" spans="1:3" x14ac:dyDescent="0.3">
      <c r="A242" s="145" t="s">
        <v>764</v>
      </c>
      <c r="B242" s="150" t="s">
        <v>335</v>
      </c>
      <c r="C242" s="145">
        <f>VLOOKUP(GroupVertices[[#This Row],[Vertex]], Vertices[], MATCH("ID", Vertices[#Headers], 0), FALSE)</f>
        <v>87</v>
      </c>
    </row>
    <row r="243" spans="1:3" x14ac:dyDescent="0.3">
      <c r="A243" s="145" t="s">
        <v>764</v>
      </c>
      <c r="B243" s="150" t="s">
        <v>334</v>
      </c>
      <c r="C243" s="145">
        <f>VLOOKUP(GroupVertices[[#This Row],[Vertex]], Vertices[], MATCH("ID", Vertices[#Headers], 0), FALSE)</f>
        <v>130</v>
      </c>
    </row>
    <row r="244" spans="1:3" x14ac:dyDescent="0.3">
      <c r="A244" s="145" t="s">
        <v>787</v>
      </c>
      <c r="B244" s="150" t="s">
        <v>561</v>
      </c>
      <c r="C244" s="145">
        <f>VLOOKUP(GroupVertices[[#This Row],[Vertex]], Vertices[], MATCH("ID", Vertices[#Headers], 0), FALSE)</f>
        <v>211</v>
      </c>
    </row>
    <row r="245" spans="1:3" x14ac:dyDescent="0.3">
      <c r="A245" s="145" t="s">
        <v>787</v>
      </c>
      <c r="B245" s="150" t="s">
        <v>593</v>
      </c>
      <c r="C245" s="145">
        <f>VLOOKUP(GroupVertices[[#This Row],[Vertex]], Vertices[], MATCH("ID", Vertices[#Headers], 0), FALSE)</f>
        <v>225</v>
      </c>
    </row>
    <row r="246" spans="1:3" x14ac:dyDescent="0.3">
      <c r="A246" s="145" t="s">
        <v>787</v>
      </c>
      <c r="B246" s="150" t="s">
        <v>264</v>
      </c>
      <c r="C246" s="145">
        <f>VLOOKUP(GroupVertices[[#This Row],[Vertex]], Vertices[], MATCH("ID", Vertices[#Headers], 0), FALSE)</f>
        <v>135</v>
      </c>
    </row>
    <row r="247" spans="1:3" x14ac:dyDescent="0.3">
      <c r="A247" s="145" t="s">
        <v>787</v>
      </c>
      <c r="B247" s="150" t="s">
        <v>266</v>
      </c>
      <c r="C247" s="145">
        <f>VLOOKUP(GroupVertices[[#This Row],[Vertex]], Vertices[], MATCH("ID", Vertices[#Headers], 0), FALSE)</f>
        <v>136</v>
      </c>
    </row>
    <row r="248" spans="1:3" x14ac:dyDescent="0.3">
      <c r="A248" s="145" t="s">
        <v>787</v>
      </c>
      <c r="B248" s="150" t="s">
        <v>265</v>
      </c>
      <c r="C248" s="145">
        <f>VLOOKUP(GroupVertices[[#This Row],[Vertex]], Vertices[], MATCH("ID", Vertices[#Headers], 0), FALSE)</f>
        <v>137</v>
      </c>
    </row>
  </sheetData>
  <dataConsolidate/>
  <dataValidations xWindow="58" yWindow="226" count="3">
    <dataValidation allowBlank="1" showInputMessage="1" showErrorMessage="1" promptTitle="Group Name" prompt="Enter the name of the group.  The group name must also be entered on the Groups worksheet." sqref="A2:A248" xr:uid="{00000000-0002-0000-0400-000000000000}"/>
    <dataValidation allowBlank="1" showInputMessage="1" showErrorMessage="1" promptTitle="Vertex Name" prompt="Enter the name of a vertex to include in the group." sqref="B2:B248" xr:uid="{00000000-0002-0000-0400-000001000000}"/>
    <dataValidation allowBlank="1" showInputMessage="1" promptTitle="Vertex ID" prompt="This is the value of the hidden ID cell in the Vertices worksheet.  It gets filled in by the items on the NodeXL, Analysis, Groups menu." sqref="C2:C248" xr:uid="{00000000-0002-0000-0400-000002000000}"/>
  </dataValidations>
  <pageMargins left="0.7" right="0.7" top="0.75" bottom="0.75" header="0.3" footer="0.3"/>
  <pageSetup orientation="portrait" horizontalDpi="1200" verticalDpi="120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56"/>
  <sheetViews>
    <sheetView tabSelected="1" topLeftCell="A3" workbookViewId="0">
      <selection activeCell="B3" sqref="B3"/>
    </sheetView>
  </sheetViews>
  <sheetFormatPr baseColWidth="10" defaultColWidth="8.88671875"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0" t="s">
        <v>162</v>
      </c>
      <c r="B1" s="10" t="s">
        <v>17</v>
      </c>
      <c r="D1" t="s">
        <v>80</v>
      </c>
      <c r="E1" t="s">
        <v>81</v>
      </c>
      <c r="F1" s="17" t="s">
        <v>87</v>
      </c>
      <c r="G1" s="18" t="s">
        <v>88</v>
      </c>
      <c r="H1" s="17" t="s">
        <v>93</v>
      </c>
      <c r="I1" s="18" t="s">
        <v>94</v>
      </c>
      <c r="J1" s="17" t="s">
        <v>99</v>
      </c>
      <c r="K1" s="18" t="s">
        <v>100</v>
      </c>
      <c r="L1" s="17" t="s">
        <v>105</v>
      </c>
      <c r="M1" s="18" t="s">
        <v>106</v>
      </c>
      <c r="N1" s="17" t="s">
        <v>111</v>
      </c>
      <c r="O1" s="18" t="s">
        <v>112</v>
      </c>
      <c r="P1" s="18" t="s">
        <v>138</v>
      </c>
      <c r="Q1" s="18" t="s">
        <v>139</v>
      </c>
      <c r="R1" s="17" t="s">
        <v>117</v>
      </c>
      <c r="S1" s="17" t="s">
        <v>118</v>
      </c>
      <c r="T1" s="17" t="s">
        <v>123</v>
      </c>
      <c r="U1" s="18" t="s">
        <v>124</v>
      </c>
      <c r="W1" t="s">
        <v>128</v>
      </c>
      <c r="X1" t="s">
        <v>17</v>
      </c>
    </row>
    <row r="2" spans="1:24" ht="15" thickTop="1" x14ac:dyDescent="0.3">
      <c r="A2" s="16" t="s">
        <v>749</v>
      </c>
      <c r="B2" s="16" t="s">
        <v>31</v>
      </c>
      <c r="D2" s="13">
        <f>MIN(Vertices[Degree])</f>
        <v>1</v>
      </c>
      <c r="E2" s="3">
        <f>COUNTIF(Vertices[Degree], "&gt;= " &amp; D2) - COUNTIF(Vertices[Degree], "&gt;=" &amp; D3)</f>
        <v>101</v>
      </c>
      <c r="F2" s="19">
        <f>MIN(Vertices[In-Degree])</f>
        <v>0</v>
      </c>
      <c r="G2" s="20">
        <f>COUNTIF(Vertices[In-Degree], "&gt;= " &amp; F2) - COUNTIF(Vertices[In-Degree], "&gt;=" &amp; F3)</f>
        <v>0</v>
      </c>
      <c r="H2" s="19">
        <f>MIN(Vertices[Out-Degree])</f>
        <v>0</v>
      </c>
      <c r="I2" s="20">
        <f>COUNTIF(Vertices[Out-Degree], "&gt;= " &amp; H2) - COUNTIF(Vertices[Out-Degree], "&gt;=" &amp; H3)</f>
        <v>0</v>
      </c>
      <c r="J2" s="19">
        <f>MIN(Vertices[Betweenness Centrality])</f>
        <v>0</v>
      </c>
      <c r="K2" s="20">
        <f>COUNTIF(Vertices[Betweenness Centrality], "&gt;= " &amp; J2) - COUNTIF(Vertices[Betweenness Centrality], "&gt;=" &amp; J3)</f>
        <v>133</v>
      </c>
      <c r="L2" s="19">
        <f>MIN(Vertices[Closeness Centrality])</f>
        <v>7.9900000000000001E-4</v>
      </c>
      <c r="M2" s="20">
        <f>COUNTIF(Vertices[Closeness Centrality], "&gt;= " &amp; L2) - COUNTIF(Vertices[Closeness Centrality], "&gt;=" &amp; L3)</f>
        <v>2</v>
      </c>
      <c r="N2" s="19">
        <f>MIN(Vertices[Eigenvector Centrality])</f>
        <v>1.1E-4</v>
      </c>
      <c r="O2" s="20">
        <f>COUNTIF(Vertices[Eigenvector Centrality], "&gt;= " &amp; N2) - COUNTIF(Vertices[Eigenvector Centrality], "&gt;=" &amp; N3)</f>
        <v>25</v>
      </c>
      <c r="P2" s="19">
        <f>MIN(Vertices[PageRank])</f>
        <v>0.37196000000000001</v>
      </c>
      <c r="Q2" s="20">
        <f>COUNTIF(Vertices[PageRank], "&gt;= " &amp; P2) - COUNTIF(Vertices[PageRank], "&gt;=" &amp; P3)</f>
        <v>86</v>
      </c>
      <c r="R2" s="19">
        <f>MIN(Vertices[Clustering Coefficient])</f>
        <v>0</v>
      </c>
      <c r="S2" s="25">
        <f>COUNTIF(Vertices[Clustering Coefficient], "&gt;= " &amp; R2) - COUNTIF(Vertices[Clustering Coefficient], "&gt;=" &amp; R3)</f>
        <v>192</v>
      </c>
      <c r="T2" s="19">
        <f ca="1">MIN(INDIRECT(DynamicFilterSourceColumnRange))</f>
        <v>0</v>
      </c>
      <c r="U2" s="20">
        <f t="shared" ref="U2:U57" ca="1" si="0">COUNTIF(INDIRECT(DynamicFilterSourceColumnRange), "&gt;= " &amp; T2) - COUNTIF(INDIRECT(DynamicFilterSourceColumnRange), "&gt;=" &amp; T3)</f>
        <v>192</v>
      </c>
      <c r="W2" t="s">
        <v>125</v>
      </c>
      <c r="X2">
        <f>ROWS(HistogramBins[Degree Bin]) - 1</f>
        <v>55</v>
      </c>
    </row>
    <row r="3" spans="1:24" x14ac:dyDescent="0.3">
      <c r="A3" s="146"/>
      <c r="B3" s="146"/>
      <c r="D3" s="14">
        <f t="shared" ref="D3:D26" si="1">D2+($D$57-$D$2)/BinDivisor</f>
        <v>1.3454545454545455</v>
      </c>
      <c r="E3" s="3">
        <f>COUNTIF(Vertices[Degree], "&gt;= " &amp; D3) - COUNTIF(Vertices[Degree], "&gt;=" &amp; D4)</f>
        <v>0</v>
      </c>
      <c r="F3" s="21">
        <f t="shared" ref="F3:F26" si="2">F2+($F$57-$F$2)/BinDivisor</f>
        <v>0</v>
      </c>
      <c r="G3" s="22">
        <f>COUNTIF(Vertices[In-Degree], "&gt;= " &amp; F3) - COUNTIF(Vertices[In-Degree], "&gt;=" &amp; F4)</f>
        <v>0</v>
      </c>
      <c r="H3" s="21">
        <f t="shared" ref="H3:H26" si="3">H2+($H$57-$H$2)/BinDivisor</f>
        <v>0</v>
      </c>
      <c r="I3" s="22">
        <f>COUNTIF(Vertices[Out-Degree], "&gt;= " &amp; H3) - COUNTIF(Vertices[Out-Degree], "&gt;=" &amp; H4)</f>
        <v>0</v>
      </c>
      <c r="J3" s="21">
        <f t="shared" ref="J3:J26" si="4">J2+($J$57-$J$2)/BinDivisor</f>
        <v>97.252530454545465</v>
      </c>
      <c r="K3" s="22">
        <f>COUNTIF(Vertices[Betweenness Centrality], "&gt;= " &amp; J3) - COUNTIF(Vertices[Betweenness Centrality], "&gt;=" &amp; J4)</f>
        <v>14</v>
      </c>
      <c r="L3" s="21">
        <f t="shared" ref="L3:L26" si="5">L2+($L$57-$L$2)/BinDivisor</f>
        <v>8.137454545454546E-4</v>
      </c>
      <c r="M3" s="22">
        <f>COUNTIF(Vertices[Closeness Centrality], "&gt;= " &amp; L3) - COUNTIF(Vertices[Closeness Centrality], "&gt;=" &amp; L4)</f>
        <v>0</v>
      </c>
      <c r="N3" s="21">
        <f t="shared" ref="N3:N26" si="6">N2+($N$57-$N$2)/BinDivisor</f>
        <v>6.069090909090909E-4</v>
      </c>
      <c r="O3" s="22">
        <f>COUNTIF(Vertices[Eigenvector Centrality], "&gt;= " &amp; N3) - COUNTIF(Vertices[Eigenvector Centrality], "&gt;=" &amp; N4)</f>
        <v>15</v>
      </c>
      <c r="P3" s="21">
        <f t="shared" ref="P3:P26" si="7">P2+($P$57-$P$2)/BinDivisor</f>
        <v>0.48573820000000001</v>
      </c>
      <c r="Q3" s="22">
        <f>COUNTIF(Vertices[PageRank], "&gt;= " &amp; P3) - COUNTIF(Vertices[PageRank], "&gt;=" &amp; P4)</f>
        <v>16</v>
      </c>
      <c r="R3" s="21">
        <f t="shared" ref="R3:R26" si="8">R2+($R$57-$R$2)/BinDivisor</f>
        <v>1.8181818181818181E-2</v>
      </c>
      <c r="S3" s="26">
        <f>COUNTIF(Vertices[Clustering Coefficient], "&gt;= " &amp; R3) - COUNTIF(Vertices[Clustering Coefficient], "&gt;=" &amp; R4)</f>
        <v>1</v>
      </c>
      <c r="T3" s="21">
        <f t="shared" ref="T3:T26" ca="1" si="9">T2+($T$57-$T$2)/BinDivisor</f>
        <v>1.8181818181818181E-2</v>
      </c>
      <c r="U3" s="22">
        <f t="shared" ca="1" si="0"/>
        <v>1</v>
      </c>
      <c r="W3" t="s">
        <v>126</v>
      </c>
      <c r="X3" t="s">
        <v>86</v>
      </c>
    </row>
    <row r="4" spans="1:24" ht="28.8" x14ac:dyDescent="0.3">
      <c r="A4" s="16" t="s">
        <v>146</v>
      </c>
      <c r="B4" s="16">
        <v>213</v>
      </c>
      <c r="D4" s="14">
        <f t="shared" si="1"/>
        <v>1.6909090909090909</v>
      </c>
      <c r="E4" s="3">
        <f>COUNTIF(Vertices[Degree], "&gt;= " &amp; D4) - COUNTIF(Vertices[Degree], "&gt;=" &amp; D5)</f>
        <v>44</v>
      </c>
      <c r="F4" s="19">
        <f t="shared" si="2"/>
        <v>0</v>
      </c>
      <c r="G4" s="20">
        <f>COUNTIF(Vertices[In-Degree], "&gt;= " &amp; F4) - COUNTIF(Vertices[In-Degree], "&gt;=" &amp; F5)</f>
        <v>0</v>
      </c>
      <c r="H4" s="19">
        <f t="shared" si="3"/>
        <v>0</v>
      </c>
      <c r="I4" s="20">
        <f>COUNTIF(Vertices[Out-Degree], "&gt;= " &amp; H4) - COUNTIF(Vertices[Out-Degree], "&gt;=" &amp; H5)</f>
        <v>0</v>
      </c>
      <c r="J4" s="19">
        <f t="shared" si="4"/>
        <v>194.50506090909093</v>
      </c>
      <c r="K4" s="20">
        <f>COUNTIF(Vertices[Betweenness Centrality], "&gt;= " &amp; J4) - COUNTIF(Vertices[Betweenness Centrality], "&gt;=" &amp; J5)</f>
        <v>14</v>
      </c>
      <c r="L4" s="19">
        <f t="shared" si="5"/>
        <v>8.2849090909090919E-4</v>
      </c>
      <c r="M4" s="20">
        <f>COUNTIF(Vertices[Closeness Centrality], "&gt;= " &amp; L4) - COUNTIF(Vertices[Closeness Centrality], "&gt;=" &amp; L5)</f>
        <v>0</v>
      </c>
      <c r="N4" s="19">
        <f t="shared" si="6"/>
        <v>1.1038181818181819E-3</v>
      </c>
      <c r="O4" s="20">
        <f>COUNTIF(Vertices[Eigenvector Centrality], "&gt;= " &amp; N4) - COUNTIF(Vertices[Eigenvector Centrality], "&gt;=" &amp; N5)</f>
        <v>29</v>
      </c>
      <c r="P4" s="19">
        <f t="shared" si="7"/>
        <v>0.59951640000000006</v>
      </c>
      <c r="Q4" s="20">
        <f>COUNTIF(Vertices[PageRank], "&gt;= " &amp; P4) - COUNTIF(Vertices[PageRank], "&gt;=" &amp; P5)</f>
        <v>32</v>
      </c>
      <c r="R4" s="19">
        <f t="shared" si="8"/>
        <v>3.6363636363636362E-2</v>
      </c>
      <c r="S4" s="25">
        <f>COUNTIF(Vertices[Clustering Coefficient], "&gt;= " &amp; R4) - COUNTIF(Vertices[Clustering Coefficient], "&gt;=" &amp; R5)</f>
        <v>3</v>
      </c>
      <c r="T4" s="19">
        <f t="shared" ca="1" si="9"/>
        <v>3.6363636363636362E-2</v>
      </c>
      <c r="U4" s="20">
        <f t="shared" ca="1" si="0"/>
        <v>3</v>
      </c>
      <c r="W4" s="9" t="s">
        <v>127</v>
      </c>
      <c r="X4" s="163" t="s">
        <v>783</v>
      </c>
    </row>
    <row r="5" spans="1:24" x14ac:dyDescent="0.3">
      <c r="A5" s="146"/>
      <c r="B5" s="146"/>
      <c r="D5" s="14">
        <f t="shared" si="1"/>
        <v>2.0363636363636362</v>
      </c>
      <c r="E5" s="3">
        <f>COUNTIF(Vertices[Degree], "&gt;= " &amp; D5) - COUNTIF(Vertices[Degree], "&gt;=" &amp; D6)</f>
        <v>0</v>
      </c>
      <c r="F5" s="21">
        <f t="shared" si="2"/>
        <v>0</v>
      </c>
      <c r="G5" s="22">
        <f>COUNTIF(Vertices[In-Degree], "&gt;= " &amp; F5) - COUNTIF(Vertices[In-Degree], "&gt;=" &amp; F6)</f>
        <v>0</v>
      </c>
      <c r="H5" s="21">
        <f t="shared" si="3"/>
        <v>0</v>
      </c>
      <c r="I5" s="22">
        <f>COUNTIF(Vertices[Out-Degree], "&gt;= " &amp; H5) - COUNTIF(Vertices[Out-Degree], "&gt;=" &amp; H6)</f>
        <v>0</v>
      </c>
      <c r="J5" s="21">
        <f t="shared" si="4"/>
        <v>291.75759136363638</v>
      </c>
      <c r="K5" s="22">
        <f>COUNTIF(Vertices[Betweenness Centrality], "&gt;= " &amp; J5) - COUNTIF(Vertices[Betweenness Centrality], "&gt;=" &amp; J6)</f>
        <v>4</v>
      </c>
      <c r="L5" s="21">
        <f t="shared" si="5"/>
        <v>8.4323636363636378E-4</v>
      </c>
      <c r="M5" s="22">
        <f>COUNTIF(Vertices[Closeness Centrality], "&gt;= " &amp; L5) - COUNTIF(Vertices[Closeness Centrality], "&gt;=" &amp; L6)</f>
        <v>1</v>
      </c>
      <c r="N5" s="21">
        <f t="shared" si="6"/>
        <v>1.6007272727272728E-3</v>
      </c>
      <c r="O5" s="22">
        <f>COUNTIF(Vertices[Eigenvector Centrality], "&gt;= " &amp; N5) - COUNTIF(Vertices[Eigenvector Centrality], "&gt;=" &amp; N6)</f>
        <v>14</v>
      </c>
      <c r="P5" s="21">
        <f t="shared" si="7"/>
        <v>0.71329460000000011</v>
      </c>
      <c r="Q5" s="22">
        <f>COUNTIF(Vertices[PageRank], "&gt;= " &amp; P5) - COUNTIF(Vertices[PageRank], "&gt;=" &amp; P6)</f>
        <v>6</v>
      </c>
      <c r="R5" s="21">
        <f t="shared" si="8"/>
        <v>5.4545454545454543E-2</v>
      </c>
      <c r="S5" s="26">
        <f>COUNTIF(Vertices[Clustering Coefficient], "&gt;= " &amp; R5) - COUNTIF(Vertices[Clustering Coefficient], "&gt;=" &amp; R6)</f>
        <v>5</v>
      </c>
      <c r="T5" s="21">
        <f t="shared" ca="1" si="9"/>
        <v>5.4545454545454543E-2</v>
      </c>
      <c r="U5" s="22">
        <f t="shared" ca="1" si="0"/>
        <v>5</v>
      </c>
    </row>
    <row r="6" spans="1:24" x14ac:dyDescent="0.3">
      <c r="A6" s="16" t="s">
        <v>148</v>
      </c>
      <c r="B6" s="16">
        <v>326</v>
      </c>
      <c r="D6" s="14">
        <f t="shared" si="1"/>
        <v>2.3818181818181818</v>
      </c>
      <c r="E6" s="3">
        <f>COUNTIF(Vertices[Degree], "&gt;= " &amp; D6) - COUNTIF(Vertices[Degree], "&gt;=" &amp; D7)</f>
        <v>0</v>
      </c>
      <c r="F6" s="19">
        <f t="shared" si="2"/>
        <v>0</v>
      </c>
      <c r="G6" s="20">
        <f>COUNTIF(Vertices[In-Degree], "&gt;= " &amp; F6) - COUNTIF(Vertices[In-Degree], "&gt;=" &amp; F7)</f>
        <v>0</v>
      </c>
      <c r="H6" s="19">
        <f t="shared" si="3"/>
        <v>0</v>
      </c>
      <c r="I6" s="20">
        <f>COUNTIF(Vertices[Out-Degree], "&gt;= " &amp; H6) - COUNTIF(Vertices[Out-Degree], "&gt;=" &amp; H7)</f>
        <v>0</v>
      </c>
      <c r="J6" s="19">
        <f t="shared" si="4"/>
        <v>389.01012181818186</v>
      </c>
      <c r="K6" s="20">
        <f>COUNTIF(Vertices[Betweenness Centrality], "&gt;= " &amp; J6) - COUNTIF(Vertices[Betweenness Centrality], "&gt;=" &amp; J7)</f>
        <v>3</v>
      </c>
      <c r="L6" s="19">
        <f t="shared" si="5"/>
        <v>8.5798181818181837E-4</v>
      </c>
      <c r="M6" s="20">
        <f>COUNTIF(Vertices[Closeness Centrality], "&gt;= " &amp; L6) - COUNTIF(Vertices[Closeness Centrality], "&gt;=" &amp; L7)</f>
        <v>1</v>
      </c>
      <c r="N6" s="19">
        <f t="shared" si="6"/>
        <v>2.0976363636363636E-3</v>
      </c>
      <c r="O6" s="20">
        <f>COUNTIF(Vertices[Eigenvector Centrality], "&gt;= " &amp; N6) - COUNTIF(Vertices[Eigenvector Centrality], "&gt;=" &amp; N7)</f>
        <v>14</v>
      </c>
      <c r="P6" s="19">
        <f t="shared" si="7"/>
        <v>0.82707280000000016</v>
      </c>
      <c r="Q6" s="20">
        <f>COUNTIF(Vertices[PageRank], "&gt;= " &amp; P6) - COUNTIF(Vertices[PageRank], "&gt;=" &amp; P7)</f>
        <v>18</v>
      </c>
      <c r="R6" s="19">
        <f t="shared" si="8"/>
        <v>7.2727272727272724E-2</v>
      </c>
      <c r="S6" s="25">
        <f>COUNTIF(Vertices[Clustering Coefficient], "&gt;= " &amp; R6) - COUNTIF(Vertices[Clustering Coefficient], "&gt;=" &amp; R7)</f>
        <v>0</v>
      </c>
      <c r="T6" s="19">
        <f t="shared" ca="1" si="9"/>
        <v>7.2727272727272724E-2</v>
      </c>
      <c r="U6" s="20">
        <f t="shared" ca="1" si="0"/>
        <v>0</v>
      </c>
    </row>
    <row r="7" spans="1:24" x14ac:dyDescent="0.3">
      <c r="A7" s="16" t="s">
        <v>149</v>
      </c>
      <c r="B7" s="16">
        <v>4</v>
      </c>
      <c r="D7" s="14">
        <f t="shared" si="1"/>
        <v>2.7272727272727275</v>
      </c>
      <c r="E7" s="3">
        <f>COUNTIF(Vertices[Degree], "&gt;= " &amp; D7) - COUNTIF(Vertices[Degree], "&gt;=" &amp; D8)</f>
        <v>19</v>
      </c>
      <c r="F7" s="21">
        <f t="shared" si="2"/>
        <v>0</v>
      </c>
      <c r="G7" s="22">
        <f>COUNTIF(Vertices[In-Degree], "&gt;= " &amp; F7) - COUNTIF(Vertices[In-Degree], "&gt;=" &amp; F8)</f>
        <v>0</v>
      </c>
      <c r="H7" s="21">
        <f t="shared" si="3"/>
        <v>0</v>
      </c>
      <c r="I7" s="22">
        <f>COUNTIF(Vertices[Out-Degree], "&gt;= " &amp; H7) - COUNTIF(Vertices[Out-Degree], "&gt;=" &amp; H8)</f>
        <v>0</v>
      </c>
      <c r="J7" s="21">
        <f t="shared" si="4"/>
        <v>486.26265227272734</v>
      </c>
      <c r="K7" s="22">
        <f>COUNTIF(Vertices[Betweenness Centrality], "&gt;= " &amp; J7) - COUNTIF(Vertices[Betweenness Centrality], "&gt;=" &amp; J8)</f>
        <v>2</v>
      </c>
      <c r="L7" s="21">
        <f t="shared" si="5"/>
        <v>8.7272727272727296E-4</v>
      </c>
      <c r="M7" s="22">
        <f>COUNTIF(Vertices[Closeness Centrality], "&gt;= " &amp; L7) - COUNTIF(Vertices[Closeness Centrality], "&gt;=" &amp; L8)</f>
        <v>6</v>
      </c>
      <c r="N7" s="21">
        <f t="shared" si="6"/>
        <v>2.5945454545454544E-3</v>
      </c>
      <c r="O7" s="22">
        <f>COUNTIF(Vertices[Eigenvector Centrality], "&gt;= " &amp; N7) - COUNTIF(Vertices[Eigenvector Centrality], "&gt;=" &amp; N8)</f>
        <v>17</v>
      </c>
      <c r="P7" s="21">
        <f t="shared" si="7"/>
        <v>0.94085100000000021</v>
      </c>
      <c r="Q7" s="22">
        <f>COUNTIF(Vertices[PageRank], "&gt;= " &amp; P7) - COUNTIF(Vertices[PageRank], "&gt;=" &amp; P8)</f>
        <v>3</v>
      </c>
      <c r="R7" s="21">
        <f t="shared" si="8"/>
        <v>9.0909090909090912E-2</v>
      </c>
      <c r="S7" s="26">
        <f>COUNTIF(Vertices[Clustering Coefficient], "&gt;= " &amp; R7) - COUNTIF(Vertices[Clustering Coefficient], "&gt;=" &amp; R8)</f>
        <v>5</v>
      </c>
      <c r="T7" s="21">
        <f t="shared" ca="1" si="9"/>
        <v>9.0909090909090912E-2</v>
      </c>
      <c r="U7" s="22">
        <f t="shared" ca="1" si="0"/>
        <v>5</v>
      </c>
    </row>
    <row r="8" spans="1:24" x14ac:dyDescent="0.3">
      <c r="A8" s="16" t="s">
        <v>150</v>
      </c>
      <c r="B8" s="16">
        <v>330</v>
      </c>
      <c r="D8" s="14">
        <f t="shared" si="1"/>
        <v>3.0727272727272732</v>
      </c>
      <c r="E8" s="3">
        <f>COUNTIF(Vertices[Degree], "&gt;= " &amp; D8) - COUNTIF(Vertices[Degree], "&gt;=" &amp; D9)</f>
        <v>0</v>
      </c>
      <c r="F8" s="19">
        <f t="shared" si="2"/>
        <v>0</v>
      </c>
      <c r="G8" s="20">
        <f>COUNTIF(Vertices[In-Degree], "&gt;= " &amp; F8) - COUNTIF(Vertices[In-Degree], "&gt;=" &amp; F9)</f>
        <v>0</v>
      </c>
      <c r="H8" s="19">
        <f t="shared" si="3"/>
        <v>0</v>
      </c>
      <c r="I8" s="20">
        <f>COUNTIF(Vertices[Out-Degree], "&gt;= " &amp; H8) - COUNTIF(Vertices[Out-Degree], "&gt;=" &amp; H9)</f>
        <v>0</v>
      </c>
      <c r="J8" s="19">
        <f t="shared" si="4"/>
        <v>583.51518272727276</v>
      </c>
      <c r="K8" s="20">
        <f>COUNTIF(Vertices[Betweenness Centrality], "&gt;= " &amp; J8) - COUNTIF(Vertices[Betweenness Centrality], "&gt;=" &amp; J9)</f>
        <v>4</v>
      </c>
      <c r="L8" s="19">
        <f t="shared" si="5"/>
        <v>8.8747272727272754E-4</v>
      </c>
      <c r="M8" s="20">
        <f>COUNTIF(Vertices[Closeness Centrality], "&gt;= " &amp; L8) - COUNTIF(Vertices[Closeness Centrality], "&gt;=" &amp; L9)</f>
        <v>4</v>
      </c>
      <c r="N8" s="19">
        <f t="shared" si="6"/>
        <v>3.0914545454545452E-3</v>
      </c>
      <c r="O8" s="20">
        <f>COUNTIF(Vertices[Eigenvector Centrality], "&gt;= " &amp; N8) - COUNTIF(Vertices[Eigenvector Centrality], "&gt;=" &amp; N9)</f>
        <v>17</v>
      </c>
      <c r="P8" s="19">
        <f t="shared" si="7"/>
        <v>1.0546292000000002</v>
      </c>
      <c r="Q8" s="20">
        <f>COUNTIF(Vertices[PageRank], "&gt;= " &amp; P8) - COUNTIF(Vertices[PageRank], "&gt;=" &amp; P9)</f>
        <v>4</v>
      </c>
      <c r="R8" s="19">
        <f t="shared" si="8"/>
        <v>0.1090909090909091</v>
      </c>
      <c r="S8" s="25">
        <f>COUNTIF(Vertices[Clustering Coefficient], "&gt;= " &amp; R8) - COUNTIF(Vertices[Clustering Coefficient], "&gt;=" &amp; R9)</f>
        <v>0</v>
      </c>
      <c r="T8" s="19">
        <f t="shared" ca="1" si="9"/>
        <v>0.1090909090909091</v>
      </c>
      <c r="U8" s="20">
        <f t="shared" ca="1" si="0"/>
        <v>0</v>
      </c>
    </row>
    <row r="9" spans="1:24" x14ac:dyDescent="0.3">
      <c r="A9" s="146"/>
      <c r="B9" s="146"/>
      <c r="D9" s="14">
        <f t="shared" si="1"/>
        <v>3.4181818181818189</v>
      </c>
      <c r="E9" s="3">
        <f>COUNTIF(Vertices[Degree], "&gt;= " &amp; D9) - COUNTIF(Vertices[Degree], "&gt;=" &amp; D10)</f>
        <v>0</v>
      </c>
      <c r="F9" s="21">
        <f t="shared" si="2"/>
        <v>0</v>
      </c>
      <c r="G9" s="22">
        <f>COUNTIF(Vertices[In-Degree], "&gt;= " &amp; F9) - COUNTIF(Vertices[In-Degree], "&gt;=" &amp; F10)</f>
        <v>0</v>
      </c>
      <c r="H9" s="21">
        <f t="shared" si="3"/>
        <v>0</v>
      </c>
      <c r="I9" s="22">
        <f>COUNTIF(Vertices[Out-Degree], "&gt;= " &amp; H9) - COUNTIF(Vertices[Out-Degree], "&gt;=" &amp; H10)</f>
        <v>0</v>
      </c>
      <c r="J9" s="21">
        <f t="shared" si="4"/>
        <v>680.76771318181818</v>
      </c>
      <c r="K9" s="22">
        <f>COUNTIF(Vertices[Betweenness Centrality], "&gt;= " &amp; J9) - COUNTIF(Vertices[Betweenness Centrality], "&gt;=" &amp; J10)</f>
        <v>2</v>
      </c>
      <c r="L9" s="21">
        <f t="shared" si="5"/>
        <v>9.0221818181818213E-4</v>
      </c>
      <c r="M9" s="22">
        <f>COUNTIF(Vertices[Closeness Centrality], "&gt;= " &amp; L9) - COUNTIF(Vertices[Closeness Centrality], "&gt;=" &amp; L10)</f>
        <v>2</v>
      </c>
      <c r="N9" s="21">
        <f t="shared" si="6"/>
        <v>3.5883636363636361E-3</v>
      </c>
      <c r="O9" s="22">
        <f>COUNTIF(Vertices[Eigenvector Centrality], "&gt;= " &amp; N9) - COUNTIF(Vertices[Eigenvector Centrality], "&gt;=" &amp; N10)</f>
        <v>13</v>
      </c>
      <c r="P9" s="21">
        <f t="shared" si="7"/>
        <v>1.1684074000000002</v>
      </c>
      <c r="Q9" s="22">
        <f>COUNTIF(Vertices[PageRank], "&gt;= " &amp; P9) - COUNTIF(Vertices[PageRank], "&gt;=" &amp; P10)</f>
        <v>2</v>
      </c>
      <c r="R9" s="21">
        <f t="shared" si="8"/>
        <v>0.12727272727272729</v>
      </c>
      <c r="S9" s="26">
        <f>COUNTIF(Vertices[Clustering Coefficient], "&gt;= " &amp; R9) - COUNTIF(Vertices[Clustering Coefficient], "&gt;=" &amp; R10)</f>
        <v>1</v>
      </c>
      <c r="T9" s="21">
        <f t="shared" ca="1" si="9"/>
        <v>0.12727272727272729</v>
      </c>
      <c r="U9" s="22">
        <f t="shared" ca="1" si="0"/>
        <v>1</v>
      </c>
    </row>
    <row r="10" spans="1:24" x14ac:dyDescent="0.3">
      <c r="A10" s="16" t="s">
        <v>151</v>
      </c>
      <c r="B10" s="16">
        <v>0</v>
      </c>
      <c r="D10" s="14">
        <f t="shared" si="1"/>
        <v>3.7636363636363646</v>
      </c>
      <c r="E10" s="3">
        <f>COUNTIF(Vertices[Degree], "&gt;= " &amp; D10) - COUNTIF(Vertices[Degree], "&gt;=" &amp; D11)</f>
        <v>5</v>
      </c>
      <c r="F10" s="19">
        <f t="shared" si="2"/>
        <v>0</v>
      </c>
      <c r="G10" s="20">
        <f>COUNTIF(Vertices[In-Degree], "&gt;= " &amp; F10) - COUNTIF(Vertices[In-Degree], "&gt;=" &amp; F11)</f>
        <v>0</v>
      </c>
      <c r="H10" s="19">
        <f t="shared" si="3"/>
        <v>0</v>
      </c>
      <c r="I10" s="20">
        <f>COUNTIF(Vertices[Out-Degree], "&gt;= " &amp; H10) - COUNTIF(Vertices[Out-Degree], "&gt;=" &amp; H11)</f>
        <v>0</v>
      </c>
      <c r="J10" s="19">
        <f t="shared" si="4"/>
        <v>778.0202436363636</v>
      </c>
      <c r="K10" s="20">
        <f>COUNTIF(Vertices[Betweenness Centrality], "&gt;= " &amp; J10) - COUNTIF(Vertices[Betweenness Centrality], "&gt;=" &amp; J11)</f>
        <v>5</v>
      </c>
      <c r="L10" s="19">
        <f t="shared" si="5"/>
        <v>9.1696363636363672E-4</v>
      </c>
      <c r="M10" s="20">
        <f>COUNTIF(Vertices[Closeness Centrality], "&gt;= " &amp; L10) - COUNTIF(Vertices[Closeness Centrality], "&gt;=" &amp; L11)</f>
        <v>0</v>
      </c>
      <c r="N10" s="19">
        <f t="shared" si="6"/>
        <v>4.0852727272727273E-3</v>
      </c>
      <c r="O10" s="20">
        <f>COUNTIF(Vertices[Eigenvector Centrality], "&gt;= " &amp; N10) - COUNTIF(Vertices[Eigenvector Centrality], "&gt;=" &amp; N11)</f>
        <v>7</v>
      </c>
      <c r="P10" s="19">
        <f t="shared" si="7"/>
        <v>1.2821856000000003</v>
      </c>
      <c r="Q10" s="20">
        <f>COUNTIF(Vertices[PageRank], "&gt;= " &amp; P10) - COUNTIF(Vertices[PageRank], "&gt;=" &amp; P11)</f>
        <v>4</v>
      </c>
      <c r="R10" s="19">
        <f t="shared" si="8"/>
        <v>0.14545454545454548</v>
      </c>
      <c r="S10" s="25">
        <f>COUNTIF(Vertices[Clustering Coefficient], "&gt;= " &amp; R10) - COUNTIF(Vertices[Clustering Coefficient], "&gt;=" &amp; R11)</f>
        <v>0</v>
      </c>
      <c r="T10" s="19">
        <f t="shared" ca="1" si="9"/>
        <v>0.14545454545454548</v>
      </c>
      <c r="U10" s="20">
        <f t="shared" ca="1" si="0"/>
        <v>0</v>
      </c>
    </row>
    <row r="11" spans="1:24" x14ac:dyDescent="0.3">
      <c r="A11" s="146"/>
      <c r="B11" s="146"/>
      <c r="D11" s="14">
        <f t="shared" si="1"/>
        <v>4.1090909090909102</v>
      </c>
      <c r="E11" s="3">
        <f>COUNTIF(Vertices[Degree], "&gt;= " &amp; D11) - COUNTIF(Vertices[Degree], "&gt;=" &amp; D12)</f>
        <v>0</v>
      </c>
      <c r="F11" s="21">
        <f t="shared" si="2"/>
        <v>0</v>
      </c>
      <c r="G11" s="22">
        <f>COUNTIF(Vertices[In-Degree], "&gt;= " &amp; F11) - COUNTIF(Vertices[In-Degree], "&gt;=" &amp; F12)</f>
        <v>0</v>
      </c>
      <c r="H11" s="21">
        <f t="shared" si="3"/>
        <v>0</v>
      </c>
      <c r="I11" s="22">
        <f>COUNTIF(Vertices[Out-Degree], "&gt;= " &amp; H11) - COUNTIF(Vertices[Out-Degree], "&gt;=" &amp; H12)</f>
        <v>0</v>
      </c>
      <c r="J11" s="21">
        <f t="shared" si="4"/>
        <v>875.27277409090902</v>
      </c>
      <c r="K11" s="22">
        <f>COUNTIF(Vertices[Betweenness Centrality], "&gt;= " &amp; J11) - COUNTIF(Vertices[Betweenness Centrality], "&gt;=" &amp; J12)</f>
        <v>3</v>
      </c>
      <c r="L11" s="21">
        <f t="shared" si="5"/>
        <v>9.3170909090909131E-4</v>
      </c>
      <c r="M11" s="22">
        <f>COUNTIF(Vertices[Closeness Centrality], "&gt;= " &amp; L11) - COUNTIF(Vertices[Closeness Centrality], "&gt;=" &amp; L12)</f>
        <v>1</v>
      </c>
      <c r="N11" s="21">
        <f t="shared" si="6"/>
        <v>4.5821818181818186E-3</v>
      </c>
      <c r="O11" s="22">
        <f>COUNTIF(Vertices[Eigenvector Centrality], "&gt;= " &amp; N11) - COUNTIF(Vertices[Eigenvector Centrality], "&gt;=" &amp; N12)</f>
        <v>5</v>
      </c>
      <c r="P11" s="21">
        <f t="shared" si="7"/>
        <v>1.3959638000000003</v>
      </c>
      <c r="Q11" s="22">
        <f>COUNTIF(Vertices[PageRank], "&gt;= " &amp; P11) - COUNTIF(Vertices[PageRank], "&gt;=" &amp; P12)</f>
        <v>1</v>
      </c>
      <c r="R11" s="21">
        <f t="shared" si="8"/>
        <v>0.16363636363636366</v>
      </c>
      <c r="S11" s="26">
        <f>COUNTIF(Vertices[Clustering Coefficient], "&gt;= " &amp; R11) - COUNTIF(Vertices[Clustering Coefficient], "&gt;=" &amp; R12)</f>
        <v>1</v>
      </c>
      <c r="T11" s="21">
        <f t="shared" ca="1" si="9"/>
        <v>0.16363636363636366</v>
      </c>
      <c r="U11" s="22">
        <f t="shared" ca="1" si="0"/>
        <v>1</v>
      </c>
    </row>
    <row r="12" spans="1:24" x14ac:dyDescent="0.3">
      <c r="A12" s="16" t="s">
        <v>170</v>
      </c>
      <c r="B12" s="16" t="s">
        <v>752</v>
      </c>
      <c r="D12" s="14">
        <f t="shared" si="1"/>
        <v>4.4545454545454559</v>
      </c>
      <c r="E12" s="3">
        <f>COUNTIF(Vertices[Degree], "&gt;= " &amp; D12) - COUNTIF(Vertices[Degree], "&gt;=" &amp; D13)</f>
        <v>0</v>
      </c>
      <c r="F12" s="19">
        <f t="shared" si="2"/>
        <v>0</v>
      </c>
      <c r="G12" s="20">
        <f>COUNTIF(Vertices[In-Degree], "&gt;= " &amp; F12) - COUNTIF(Vertices[In-Degree], "&gt;=" &amp; F13)</f>
        <v>0</v>
      </c>
      <c r="H12" s="19">
        <f t="shared" si="3"/>
        <v>0</v>
      </c>
      <c r="I12" s="20">
        <f>COUNTIF(Vertices[Out-Degree], "&gt;= " &amp; H12) - COUNTIF(Vertices[Out-Degree], "&gt;=" &amp; H13)</f>
        <v>0</v>
      </c>
      <c r="J12" s="19">
        <f t="shared" si="4"/>
        <v>972.52530454545445</v>
      </c>
      <c r="K12" s="20">
        <f>COUNTIF(Vertices[Betweenness Centrality], "&gt;= " &amp; J12) - COUNTIF(Vertices[Betweenness Centrality], "&gt;=" &amp; J13)</f>
        <v>3</v>
      </c>
      <c r="L12" s="19">
        <f t="shared" si="5"/>
        <v>9.464545454545459E-4</v>
      </c>
      <c r="M12" s="20">
        <f>COUNTIF(Vertices[Closeness Centrality], "&gt;= " &amp; L12) - COUNTIF(Vertices[Closeness Centrality], "&gt;=" &amp; L13)</f>
        <v>11</v>
      </c>
      <c r="N12" s="19">
        <f t="shared" si="6"/>
        <v>5.0790909090909098E-3</v>
      </c>
      <c r="O12" s="20">
        <f>COUNTIF(Vertices[Eigenvector Centrality], "&gt;= " &amp; N12) - COUNTIF(Vertices[Eigenvector Centrality], "&gt;=" &amp; N13)</f>
        <v>3</v>
      </c>
      <c r="P12" s="19">
        <f t="shared" si="7"/>
        <v>1.5097420000000004</v>
      </c>
      <c r="Q12" s="20">
        <f>COUNTIF(Vertices[PageRank], "&gt;= " &amp; P12) - COUNTIF(Vertices[PageRank], "&gt;=" &amp; P13)</f>
        <v>5</v>
      </c>
      <c r="R12" s="19">
        <f t="shared" si="8"/>
        <v>0.18181818181818185</v>
      </c>
      <c r="S12" s="25">
        <f>COUNTIF(Vertices[Clustering Coefficient], "&gt;= " &amp; R12) - COUNTIF(Vertices[Clustering Coefficient], "&gt;=" &amp; R13)</f>
        <v>0</v>
      </c>
      <c r="T12" s="19">
        <f t="shared" ca="1" si="9"/>
        <v>0.18181818181818185</v>
      </c>
      <c r="U12" s="20">
        <f t="shared" ca="1" si="0"/>
        <v>0</v>
      </c>
    </row>
    <row r="13" spans="1:24" x14ac:dyDescent="0.3">
      <c r="A13" s="16" t="s">
        <v>171</v>
      </c>
      <c r="B13" s="16" t="s">
        <v>752</v>
      </c>
      <c r="D13" s="14">
        <f t="shared" si="1"/>
        <v>4.8000000000000016</v>
      </c>
      <c r="E13" s="3">
        <f>COUNTIF(Vertices[Degree], "&gt;= " &amp; D13) - COUNTIF(Vertices[Degree], "&gt;=" &amp; D14)</f>
        <v>6</v>
      </c>
      <c r="F13" s="21">
        <f t="shared" si="2"/>
        <v>0</v>
      </c>
      <c r="G13" s="22">
        <f>COUNTIF(Vertices[In-Degree], "&gt;= " &amp; F13) - COUNTIF(Vertices[In-Degree], "&gt;=" &amp; F14)</f>
        <v>0</v>
      </c>
      <c r="H13" s="21">
        <f t="shared" si="3"/>
        <v>0</v>
      </c>
      <c r="I13" s="22">
        <f>COUNTIF(Vertices[Out-Degree], "&gt;= " &amp; H13) - COUNTIF(Vertices[Out-Degree], "&gt;=" &amp; H14)</f>
        <v>0</v>
      </c>
      <c r="J13" s="21">
        <f t="shared" si="4"/>
        <v>1069.7778349999999</v>
      </c>
      <c r="K13" s="22">
        <f>COUNTIF(Vertices[Betweenness Centrality], "&gt;= " &amp; J13) - COUNTIF(Vertices[Betweenness Centrality], "&gt;=" &amp; J14)</f>
        <v>2</v>
      </c>
      <c r="L13" s="21">
        <f t="shared" si="5"/>
        <v>9.6120000000000049E-4</v>
      </c>
      <c r="M13" s="22">
        <f>COUNTIF(Vertices[Closeness Centrality], "&gt;= " &amp; L13) - COUNTIF(Vertices[Closeness Centrality], "&gt;=" &amp; L14)</f>
        <v>1</v>
      </c>
      <c r="N13" s="21">
        <f t="shared" si="6"/>
        <v>5.5760000000000011E-3</v>
      </c>
      <c r="O13" s="22">
        <f>COUNTIF(Vertices[Eigenvector Centrality], "&gt;= " &amp; N13) - COUNTIF(Vertices[Eigenvector Centrality], "&gt;=" &amp; N14)</f>
        <v>5</v>
      </c>
      <c r="P13" s="21">
        <f t="shared" si="7"/>
        <v>1.6235202000000004</v>
      </c>
      <c r="Q13" s="22">
        <f>COUNTIF(Vertices[PageRank], "&gt;= " &amp; P13) - COUNTIF(Vertices[PageRank], "&gt;=" &amp; P14)</f>
        <v>3</v>
      </c>
      <c r="R13" s="21">
        <f t="shared" si="8"/>
        <v>0.20000000000000004</v>
      </c>
      <c r="S13" s="26">
        <f>COUNTIF(Vertices[Clustering Coefficient], "&gt;= " &amp; R13) - COUNTIF(Vertices[Clustering Coefficient], "&gt;=" &amp; R14)</f>
        <v>0</v>
      </c>
      <c r="T13" s="21">
        <f t="shared" ca="1" si="9"/>
        <v>0.20000000000000004</v>
      </c>
      <c r="U13" s="22">
        <f t="shared" ca="1" si="0"/>
        <v>0</v>
      </c>
    </row>
    <row r="14" spans="1:24" x14ac:dyDescent="0.3">
      <c r="A14" s="146"/>
      <c r="B14" s="146"/>
      <c r="D14" s="14">
        <f t="shared" si="1"/>
        <v>5.1454545454545473</v>
      </c>
      <c r="E14" s="3">
        <f>COUNTIF(Vertices[Degree], "&gt;= " &amp; D14) - COUNTIF(Vertices[Degree], "&gt;=" &amp; D15)</f>
        <v>0</v>
      </c>
      <c r="F14" s="19">
        <f t="shared" si="2"/>
        <v>0</v>
      </c>
      <c r="G14" s="20">
        <f>COUNTIF(Vertices[In-Degree], "&gt;= " &amp; F14) - COUNTIF(Vertices[In-Degree], "&gt;=" &amp; F15)</f>
        <v>0</v>
      </c>
      <c r="H14" s="19">
        <f t="shared" si="3"/>
        <v>0</v>
      </c>
      <c r="I14" s="20">
        <f>COUNTIF(Vertices[Out-Degree], "&gt;= " &amp; H14) - COUNTIF(Vertices[Out-Degree], "&gt;=" &amp; H15)</f>
        <v>0</v>
      </c>
      <c r="J14" s="19">
        <f t="shared" si="4"/>
        <v>1167.0303654545453</v>
      </c>
      <c r="K14" s="20">
        <f>COUNTIF(Vertices[Betweenness Centrality], "&gt;= " &amp; J14) - COUNTIF(Vertices[Betweenness Centrality], "&gt;=" &amp; J15)</f>
        <v>4</v>
      </c>
      <c r="L14" s="19">
        <f t="shared" si="5"/>
        <v>9.7594545454545508E-4</v>
      </c>
      <c r="M14" s="20">
        <f>COUNTIF(Vertices[Closeness Centrality], "&gt;= " &amp; L14) - COUNTIF(Vertices[Closeness Centrality], "&gt;=" &amp; L15)</f>
        <v>2</v>
      </c>
      <c r="N14" s="19">
        <f t="shared" si="6"/>
        <v>6.0729090909090924E-3</v>
      </c>
      <c r="O14" s="20">
        <f>COUNTIF(Vertices[Eigenvector Centrality], "&gt;= " &amp; N14) - COUNTIF(Vertices[Eigenvector Centrality], "&gt;=" &amp; N15)</f>
        <v>4</v>
      </c>
      <c r="P14" s="19">
        <f t="shared" si="7"/>
        <v>1.7372984000000005</v>
      </c>
      <c r="Q14" s="20">
        <f>COUNTIF(Vertices[PageRank], "&gt;= " &amp; P14) - COUNTIF(Vertices[PageRank], "&gt;=" &amp; P15)</f>
        <v>3</v>
      </c>
      <c r="R14" s="19">
        <f t="shared" si="8"/>
        <v>0.21818181818181823</v>
      </c>
      <c r="S14" s="25">
        <f>COUNTIF(Vertices[Clustering Coefficient], "&gt;= " &amp; R14) - COUNTIF(Vertices[Clustering Coefficient], "&gt;=" &amp; R15)</f>
        <v>0</v>
      </c>
      <c r="T14" s="19">
        <f t="shared" ca="1" si="9"/>
        <v>0.21818181818181823</v>
      </c>
      <c r="U14" s="20">
        <f t="shared" ca="1" si="0"/>
        <v>0</v>
      </c>
    </row>
    <row r="15" spans="1:24" x14ac:dyDescent="0.3">
      <c r="A15" s="16" t="s">
        <v>152</v>
      </c>
      <c r="B15" s="16">
        <v>1</v>
      </c>
      <c r="D15" s="14">
        <f t="shared" si="1"/>
        <v>5.490909090909093</v>
      </c>
      <c r="E15" s="3">
        <f>COUNTIF(Vertices[Degree], "&gt;= " &amp; D15) - COUNTIF(Vertices[Degree], "&gt;=" &amp; D16)</f>
        <v>0</v>
      </c>
      <c r="F15" s="21">
        <f t="shared" si="2"/>
        <v>0</v>
      </c>
      <c r="G15" s="22">
        <f>COUNTIF(Vertices[In-Degree], "&gt;= " &amp; F15) - COUNTIF(Vertices[In-Degree], "&gt;=" &amp; F16)</f>
        <v>0</v>
      </c>
      <c r="H15" s="21">
        <f t="shared" si="3"/>
        <v>0</v>
      </c>
      <c r="I15" s="22">
        <f>COUNTIF(Vertices[Out-Degree], "&gt;= " &amp; H15) - COUNTIF(Vertices[Out-Degree], "&gt;=" &amp; H16)</f>
        <v>0</v>
      </c>
      <c r="J15" s="21">
        <f t="shared" si="4"/>
        <v>1264.2828959090907</v>
      </c>
      <c r="K15" s="22">
        <f>COUNTIF(Vertices[Betweenness Centrality], "&gt;= " &amp; J15) - COUNTIF(Vertices[Betweenness Centrality], "&gt;=" &amp; J16)</f>
        <v>3</v>
      </c>
      <c r="L15" s="21">
        <f t="shared" si="5"/>
        <v>9.9069090909090956E-4</v>
      </c>
      <c r="M15" s="22">
        <f>COUNTIF(Vertices[Closeness Centrality], "&gt;= " &amp; L15) - COUNTIF(Vertices[Closeness Centrality], "&gt;=" &amp; L16)</f>
        <v>4</v>
      </c>
      <c r="N15" s="21">
        <f t="shared" si="6"/>
        <v>6.5698181818181836E-3</v>
      </c>
      <c r="O15" s="22">
        <f>COUNTIF(Vertices[Eigenvector Centrality], "&gt;= " &amp; N15) - COUNTIF(Vertices[Eigenvector Centrality], "&gt;=" &amp; N16)</f>
        <v>3</v>
      </c>
      <c r="P15" s="21">
        <f t="shared" si="7"/>
        <v>1.8510766000000005</v>
      </c>
      <c r="Q15" s="22">
        <f>COUNTIF(Vertices[PageRank], "&gt;= " &amp; P15) - COUNTIF(Vertices[PageRank], "&gt;=" &amp; P16)</f>
        <v>1</v>
      </c>
      <c r="R15" s="21">
        <f t="shared" si="8"/>
        <v>0.23636363636363641</v>
      </c>
      <c r="S15" s="26">
        <f>COUNTIF(Vertices[Clustering Coefficient], "&gt;= " &amp; R15) - COUNTIF(Vertices[Clustering Coefficient], "&gt;=" &amp; R16)</f>
        <v>0</v>
      </c>
      <c r="T15" s="21">
        <f t="shared" ca="1" si="9"/>
        <v>0.23636363636363641</v>
      </c>
      <c r="U15" s="22">
        <f t="shared" ca="1" si="0"/>
        <v>0</v>
      </c>
    </row>
    <row r="16" spans="1:24" x14ac:dyDescent="0.3">
      <c r="A16" s="16" t="s">
        <v>153</v>
      </c>
      <c r="B16" s="16">
        <v>0</v>
      </c>
      <c r="D16" s="14">
        <f t="shared" si="1"/>
        <v>5.8363636363636386</v>
      </c>
      <c r="E16" s="3">
        <f>COUNTIF(Vertices[Degree], "&gt;= " &amp; D16) - COUNTIF(Vertices[Degree], "&gt;=" &amp; D17)</f>
        <v>8</v>
      </c>
      <c r="F16" s="19">
        <f t="shared" si="2"/>
        <v>0</v>
      </c>
      <c r="G16" s="20">
        <f>COUNTIF(Vertices[In-Degree], "&gt;= " &amp; F16) - COUNTIF(Vertices[In-Degree], "&gt;=" &amp; F17)</f>
        <v>0</v>
      </c>
      <c r="H16" s="19">
        <f t="shared" si="3"/>
        <v>0</v>
      </c>
      <c r="I16" s="20">
        <f>COUNTIF(Vertices[Out-Degree], "&gt;= " &amp; H16) - COUNTIF(Vertices[Out-Degree], "&gt;=" &amp; H17)</f>
        <v>0</v>
      </c>
      <c r="J16" s="19">
        <f t="shared" si="4"/>
        <v>1361.5354263636361</v>
      </c>
      <c r="K16" s="20">
        <f>COUNTIF(Vertices[Betweenness Centrality], "&gt;= " &amp; J16) - COUNTIF(Vertices[Betweenness Centrality], "&gt;=" &amp; J17)</f>
        <v>1</v>
      </c>
      <c r="L16" s="19">
        <f t="shared" si="5"/>
        <v>1.005436363636364E-3</v>
      </c>
      <c r="M16" s="20">
        <f>COUNTIF(Vertices[Closeness Centrality], "&gt;= " &amp; L16) - COUNTIF(Vertices[Closeness Centrality], "&gt;=" &amp; L17)</f>
        <v>4</v>
      </c>
      <c r="N16" s="19">
        <f t="shared" si="6"/>
        <v>7.0667272727272749E-3</v>
      </c>
      <c r="O16" s="20">
        <f>COUNTIF(Vertices[Eigenvector Centrality], "&gt;= " &amp; N16) - COUNTIF(Vertices[Eigenvector Centrality], "&gt;=" &amp; N17)</f>
        <v>0</v>
      </c>
      <c r="P16" s="19">
        <f t="shared" si="7"/>
        <v>1.9648548000000006</v>
      </c>
      <c r="Q16" s="20">
        <f>COUNTIF(Vertices[PageRank], "&gt;= " &amp; P16) - COUNTIF(Vertices[PageRank], "&gt;=" &amp; P17)</f>
        <v>2</v>
      </c>
      <c r="R16" s="19">
        <f t="shared" si="8"/>
        <v>0.25454545454545457</v>
      </c>
      <c r="S16" s="25">
        <f>COUNTIF(Vertices[Clustering Coefficient], "&gt;= " &amp; R16) - COUNTIF(Vertices[Clustering Coefficient], "&gt;=" &amp; R17)</f>
        <v>0</v>
      </c>
      <c r="T16" s="19">
        <f t="shared" ca="1" si="9"/>
        <v>0.25454545454545457</v>
      </c>
      <c r="U16" s="20">
        <f t="shared" ca="1" si="0"/>
        <v>0</v>
      </c>
    </row>
    <row r="17" spans="1:21" x14ac:dyDescent="0.3">
      <c r="A17" s="16" t="s">
        <v>154</v>
      </c>
      <c r="B17" s="16">
        <v>213</v>
      </c>
      <c r="D17" s="14">
        <f t="shared" si="1"/>
        <v>6.1818181818181843</v>
      </c>
      <c r="E17" s="3">
        <f>COUNTIF(Vertices[Degree], "&gt;= " &amp; D17) - COUNTIF(Vertices[Degree], "&gt;=" &amp; D18)</f>
        <v>0</v>
      </c>
      <c r="F17" s="21">
        <f t="shared" si="2"/>
        <v>0</v>
      </c>
      <c r="G17" s="22">
        <f>COUNTIF(Vertices[In-Degree], "&gt;= " &amp; F17) - COUNTIF(Vertices[In-Degree], "&gt;=" &amp; F18)</f>
        <v>0</v>
      </c>
      <c r="H17" s="21">
        <f t="shared" si="3"/>
        <v>0</v>
      </c>
      <c r="I17" s="22">
        <f>COUNTIF(Vertices[Out-Degree], "&gt;= " &amp; H17) - COUNTIF(Vertices[Out-Degree], "&gt;=" &amp; H18)</f>
        <v>0</v>
      </c>
      <c r="J17" s="21">
        <f t="shared" si="4"/>
        <v>1458.7879568181816</v>
      </c>
      <c r="K17" s="22">
        <f>COUNTIF(Vertices[Betweenness Centrality], "&gt;= " &amp; J17) - COUNTIF(Vertices[Betweenness Centrality], "&gt;=" &amp; J18)</f>
        <v>2</v>
      </c>
      <c r="L17" s="21">
        <f t="shared" si="5"/>
        <v>1.0201818181818185E-3</v>
      </c>
      <c r="M17" s="22">
        <f>COUNTIF(Vertices[Closeness Centrality], "&gt;= " &amp; L17) - COUNTIF(Vertices[Closeness Centrality], "&gt;=" &amp; L18)</f>
        <v>7</v>
      </c>
      <c r="N17" s="21">
        <f t="shared" si="6"/>
        <v>7.5636363636363661E-3</v>
      </c>
      <c r="O17" s="22">
        <f>COUNTIF(Vertices[Eigenvector Centrality], "&gt;= " &amp; N17) - COUNTIF(Vertices[Eigenvector Centrality], "&gt;=" &amp; N18)</f>
        <v>2</v>
      </c>
      <c r="P17" s="21">
        <f t="shared" si="7"/>
        <v>2.0786330000000004</v>
      </c>
      <c r="Q17" s="22">
        <f>COUNTIF(Vertices[PageRank], "&gt;= " &amp; P17) - COUNTIF(Vertices[PageRank], "&gt;=" &amp; P18)</f>
        <v>1</v>
      </c>
      <c r="R17" s="21">
        <f t="shared" si="8"/>
        <v>0.27272727272727276</v>
      </c>
      <c r="S17" s="26">
        <f>COUNTIF(Vertices[Clustering Coefficient], "&gt;= " &amp; R17) - COUNTIF(Vertices[Clustering Coefficient], "&gt;=" &amp; R18)</f>
        <v>0</v>
      </c>
      <c r="T17" s="21">
        <f t="shared" ca="1" si="9"/>
        <v>0.27272727272727276</v>
      </c>
      <c r="U17" s="22">
        <f t="shared" ca="1" si="0"/>
        <v>0</v>
      </c>
    </row>
    <row r="18" spans="1:21" x14ac:dyDescent="0.3">
      <c r="A18" s="16" t="s">
        <v>155</v>
      </c>
      <c r="B18" s="16">
        <v>330</v>
      </c>
      <c r="D18" s="14">
        <f t="shared" si="1"/>
        <v>6.52727272727273</v>
      </c>
      <c r="E18" s="3">
        <f>COUNTIF(Vertices[Degree], "&gt;= " &amp; D18) - COUNTIF(Vertices[Degree], "&gt;=" &amp; D19)</f>
        <v>0</v>
      </c>
      <c r="F18" s="19">
        <f t="shared" si="2"/>
        <v>0</v>
      </c>
      <c r="G18" s="20">
        <f>COUNTIF(Vertices[In-Degree], "&gt;= " &amp; F18) - COUNTIF(Vertices[In-Degree], "&gt;=" &amp; F19)</f>
        <v>0</v>
      </c>
      <c r="H18" s="19">
        <f t="shared" si="3"/>
        <v>0</v>
      </c>
      <c r="I18" s="20">
        <f>COUNTIF(Vertices[Out-Degree], "&gt;= " &amp; H18) - COUNTIF(Vertices[Out-Degree], "&gt;=" &amp; H19)</f>
        <v>0</v>
      </c>
      <c r="J18" s="19">
        <f t="shared" si="4"/>
        <v>1556.040487272727</v>
      </c>
      <c r="K18" s="20">
        <f>COUNTIF(Vertices[Betweenness Centrality], "&gt;= " &amp; J18) - COUNTIF(Vertices[Betweenness Centrality], "&gt;=" &amp; J19)</f>
        <v>2</v>
      </c>
      <c r="L18" s="19">
        <f t="shared" si="5"/>
        <v>1.034927272727273E-3</v>
      </c>
      <c r="M18" s="20">
        <f>COUNTIF(Vertices[Closeness Centrality], "&gt;= " &amp; L18) - COUNTIF(Vertices[Closeness Centrality], "&gt;=" &amp; L19)</f>
        <v>9</v>
      </c>
      <c r="N18" s="19">
        <f t="shared" si="6"/>
        <v>8.0605454545454574E-3</v>
      </c>
      <c r="O18" s="20">
        <f>COUNTIF(Vertices[Eigenvector Centrality], "&gt;= " &amp; N18) - COUNTIF(Vertices[Eigenvector Centrality], "&gt;=" &amp; N19)</f>
        <v>5</v>
      </c>
      <c r="P18" s="19">
        <f t="shared" si="7"/>
        <v>2.1924112000000004</v>
      </c>
      <c r="Q18" s="20">
        <f>COUNTIF(Vertices[PageRank], "&gt;= " &amp; P18) - COUNTIF(Vertices[PageRank], "&gt;=" &amp; P19)</f>
        <v>2</v>
      </c>
      <c r="R18" s="19">
        <f t="shared" si="8"/>
        <v>0.29090909090909095</v>
      </c>
      <c r="S18" s="25">
        <f>COUNTIF(Vertices[Clustering Coefficient], "&gt;= " &amp; R18) - COUNTIF(Vertices[Clustering Coefficient], "&gt;=" &amp; R19)</f>
        <v>0</v>
      </c>
      <c r="T18" s="19">
        <f t="shared" ca="1" si="9"/>
        <v>0.29090909090909095</v>
      </c>
      <c r="U18" s="20">
        <f t="shared" ca="1" si="0"/>
        <v>0</v>
      </c>
    </row>
    <row r="19" spans="1:21" x14ac:dyDescent="0.3">
      <c r="A19" s="146"/>
      <c r="B19" s="146"/>
      <c r="D19" s="14">
        <f t="shared" si="1"/>
        <v>6.8727272727272757</v>
      </c>
      <c r="E19" s="3">
        <f>COUNTIF(Vertices[Degree], "&gt;= " &amp; D19) - COUNTIF(Vertices[Degree], "&gt;=" &amp; D20)</f>
        <v>5</v>
      </c>
      <c r="F19" s="21">
        <f t="shared" si="2"/>
        <v>0</v>
      </c>
      <c r="G19" s="22">
        <f>COUNTIF(Vertices[In-Degree], "&gt;= " &amp; F19) - COUNTIF(Vertices[In-Degree], "&gt;=" &amp; F20)</f>
        <v>0</v>
      </c>
      <c r="H19" s="21">
        <f t="shared" si="3"/>
        <v>0</v>
      </c>
      <c r="I19" s="22">
        <f>COUNTIF(Vertices[Out-Degree], "&gt;= " &amp; H19) - COUNTIF(Vertices[Out-Degree], "&gt;=" &amp; H20)</f>
        <v>0</v>
      </c>
      <c r="J19" s="21">
        <f t="shared" si="4"/>
        <v>1653.2930177272724</v>
      </c>
      <c r="K19" s="22">
        <f>COUNTIF(Vertices[Betweenness Centrality], "&gt;= " &amp; J19) - COUNTIF(Vertices[Betweenness Centrality], "&gt;=" &amp; J20)</f>
        <v>3</v>
      </c>
      <c r="L19" s="21">
        <f t="shared" si="5"/>
        <v>1.0496727272727275E-3</v>
      </c>
      <c r="M19" s="22">
        <f>COUNTIF(Vertices[Closeness Centrality], "&gt;= " &amp; L19) - COUNTIF(Vertices[Closeness Centrality], "&gt;=" &amp; L20)</f>
        <v>12</v>
      </c>
      <c r="N19" s="21">
        <f t="shared" si="6"/>
        <v>8.5574545454545486E-3</v>
      </c>
      <c r="O19" s="22">
        <f>COUNTIF(Vertices[Eigenvector Centrality], "&gt;= " &amp; N19) - COUNTIF(Vertices[Eigenvector Centrality], "&gt;=" &amp; N20)</f>
        <v>3</v>
      </c>
      <c r="P19" s="21">
        <f t="shared" si="7"/>
        <v>2.3061894000000005</v>
      </c>
      <c r="Q19" s="22">
        <f>COUNTIF(Vertices[PageRank], "&gt;= " &amp; P19) - COUNTIF(Vertices[PageRank], "&gt;=" &amp; P20)</f>
        <v>2</v>
      </c>
      <c r="R19" s="21">
        <f t="shared" si="8"/>
        <v>0.30909090909090914</v>
      </c>
      <c r="S19" s="26">
        <f>COUNTIF(Vertices[Clustering Coefficient], "&gt;= " &amp; R19) - COUNTIF(Vertices[Clustering Coefficient], "&gt;=" &amp; R20)</f>
        <v>0</v>
      </c>
      <c r="T19" s="21">
        <f t="shared" ca="1" si="9"/>
        <v>0.30909090909090914</v>
      </c>
      <c r="U19" s="22">
        <f t="shared" ca="1" si="0"/>
        <v>0</v>
      </c>
    </row>
    <row r="20" spans="1:21" x14ac:dyDescent="0.3">
      <c r="A20" s="16" t="s">
        <v>156</v>
      </c>
      <c r="B20" s="16">
        <v>8</v>
      </c>
      <c r="D20" s="14">
        <f t="shared" si="1"/>
        <v>7.2181818181818214</v>
      </c>
      <c r="E20" s="3">
        <f>COUNTIF(Vertices[Degree], "&gt;= " &amp; D20) - COUNTIF(Vertices[Degree], "&gt;=" &amp; D21)</f>
        <v>0</v>
      </c>
      <c r="F20" s="19">
        <f t="shared" si="2"/>
        <v>0</v>
      </c>
      <c r="G20" s="20">
        <f>COUNTIF(Vertices[In-Degree], "&gt;= " &amp; F20) - COUNTIF(Vertices[In-Degree], "&gt;=" &amp; F21)</f>
        <v>0</v>
      </c>
      <c r="H20" s="19">
        <f t="shared" si="3"/>
        <v>0</v>
      </c>
      <c r="I20" s="20">
        <f>COUNTIF(Vertices[Out-Degree], "&gt;= " &amp; H20) - COUNTIF(Vertices[Out-Degree], "&gt;=" &amp; H21)</f>
        <v>0</v>
      </c>
      <c r="J20" s="19">
        <f t="shared" si="4"/>
        <v>1750.5455481818178</v>
      </c>
      <c r="K20" s="20">
        <f>COUNTIF(Vertices[Betweenness Centrality], "&gt;= " &amp; J20) - COUNTIF(Vertices[Betweenness Centrality], "&gt;=" &amp; J21)</f>
        <v>2</v>
      </c>
      <c r="L20" s="19">
        <f t="shared" si="5"/>
        <v>1.064418181818182E-3</v>
      </c>
      <c r="M20" s="20">
        <f>COUNTIF(Vertices[Closeness Centrality], "&gt;= " &amp; L20) - COUNTIF(Vertices[Closeness Centrality], "&gt;=" &amp; L21)</f>
        <v>5</v>
      </c>
      <c r="N20" s="19">
        <f t="shared" si="6"/>
        <v>9.0543636363636399E-3</v>
      </c>
      <c r="O20" s="20">
        <f>COUNTIF(Vertices[Eigenvector Centrality], "&gt;= " &amp; N20) - COUNTIF(Vertices[Eigenvector Centrality], "&gt;=" &amp; N21)</f>
        <v>2</v>
      </c>
      <c r="P20" s="19">
        <f t="shared" si="7"/>
        <v>2.4199676000000006</v>
      </c>
      <c r="Q20" s="20">
        <f>COUNTIF(Vertices[PageRank], "&gt;= " &amp; P20) - COUNTIF(Vertices[PageRank], "&gt;=" &amp; P21)</f>
        <v>3</v>
      </c>
      <c r="R20" s="19">
        <f t="shared" si="8"/>
        <v>0.32727272727272733</v>
      </c>
      <c r="S20" s="25">
        <f>COUNTIF(Vertices[Clustering Coefficient], "&gt;= " &amp; R20) - COUNTIF(Vertices[Clustering Coefficient], "&gt;=" &amp; R21)</f>
        <v>3</v>
      </c>
      <c r="T20" s="19">
        <f t="shared" ca="1" si="9"/>
        <v>0.32727272727272733</v>
      </c>
      <c r="U20" s="20">
        <f t="shared" ca="1" si="0"/>
        <v>3</v>
      </c>
    </row>
    <row r="21" spans="1:21" x14ac:dyDescent="0.3">
      <c r="A21" s="16" t="s">
        <v>157</v>
      </c>
      <c r="B21" s="16">
        <v>4.1586550000000004</v>
      </c>
      <c r="D21" s="14">
        <f t="shared" si="1"/>
        <v>7.563636363636367</v>
      </c>
      <c r="E21" s="3">
        <f>COUNTIF(Vertices[Degree], "&gt;= " &amp; D21) - COUNTIF(Vertices[Degree], "&gt;=" &amp; D22)</f>
        <v>0</v>
      </c>
      <c r="F21" s="21">
        <f t="shared" si="2"/>
        <v>0</v>
      </c>
      <c r="G21" s="22">
        <f>COUNTIF(Vertices[In-Degree], "&gt;= " &amp; F21) - COUNTIF(Vertices[In-Degree], "&gt;=" &amp; F22)</f>
        <v>0</v>
      </c>
      <c r="H21" s="21">
        <f t="shared" si="3"/>
        <v>0</v>
      </c>
      <c r="I21" s="22">
        <f>COUNTIF(Vertices[Out-Degree], "&gt;= " &amp; H21) - COUNTIF(Vertices[Out-Degree], "&gt;=" &amp; H22)</f>
        <v>0</v>
      </c>
      <c r="J21" s="21">
        <f t="shared" si="4"/>
        <v>1847.7980786363632</v>
      </c>
      <c r="K21" s="22">
        <f>COUNTIF(Vertices[Betweenness Centrality], "&gt;= " &amp; J21) - COUNTIF(Vertices[Betweenness Centrality], "&gt;=" &amp; J22)</f>
        <v>1</v>
      </c>
      <c r="L21" s="21">
        <f t="shared" si="5"/>
        <v>1.0791636363636364E-3</v>
      </c>
      <c r="M21" s="22">
        <f>COUNTIF(Vertices[Closeness Centrality], "&gt;= " &amp; L21) - COUNTIF(Vertices[Closeness Centrality], "&gt;=" &amp; L22)</f>
        <v>5</v>
      </c>
      <c r="N21" s="21">
        <f t="shared" si="6"/>
        <v>9.5512727272727312E-3</v>
      </c>
      <c r="O21" s="22">
        <f>COUNTIF(Vertices[Eigenvector Centrality], "&gt;= " &amp; N21) - COUNTIF(Vertices[Eigenvector Centrality], "&gt;=" &amp; N22)</f>
        <v>2</v>
      </c>
      <c r="P21" s="21">
        <f t="shared" si="7"/>
        <v>2.5337458000000006</v>
      </c>
      <c r="Q21" s="22">
        <f>COUNTIF(Vertices[PageRank], "&gt;= " &amp; P21) - COUNTIF(Vertices[PageRank], "&gt;=" &amp; P22)</f>
        <v>2</v>
      </c>
      <c r="R21" s="21">
        <f t="shared" si="8"/>
        <v>0.34545454545454551</v>
      </c>
      <c r="S21" s="26">
        <f>COUNTIF(Vertices[Clustering Coefficient], "&gt;= " &amp; R21) - COUNTIF(Vertices[Clustering Coefficient], "&gt;=" &amp; R22)</f>
        <v>0</v>
      </c>
      <c r="T21" s="21">
        <f t="shared" ca="1" si="9"/>
        <v>0.34545454545454551</v>
      </c>
      <c r="U21" s="22">
        <f t="shared" ca="1" si="0"/>
        <v>0</v>
      </c>
    </row>
    <row r="22" spans="1:21" x14ac:dyDescent="0.3">
      <c r="A22" s="146"/>
      <c r="B22" s="146"/>
      <c r="D22" s="14">
        <f t="shared" si="1"/>
        <v>7.9090909090909127</v>
      </c>
      <c r="E22" s="3">
        <f>COUNTIF(Vertices[Degree], "&gt;= " &amp; D22) - COUNTIF(Vertices[Degree], "&gt;=" &amp; D23)</f>
        <v>5</v>
      </c>
      <c r="F22" s="19">
        <f t="shared" si="2"/>
        <v>0</v>
      </c>
      <c r="G22" s="20">
        <f>COUNTIF(Vertices[In-Degree], "&gt;= " &amp; F22) - COUNTIF(Vertices[In-Degree], "&gt;=" &amp; F23)</f>
        <v>0</v>
      </c>
      <c r="H22" s="19">
        <f t="shared" si="3"/>
        <v>0</v>
      </c>
      <c r="I22" s="20">
        <f>COUNTIF(Vertices[Out-Degree], "&gt;= " &amp; H22) - COUNTIF(Vertices[Out-Degree], "&gt;=" &amp; H23)</f>
        <v>0</v>
      </c>
      <c r="J22" s="19">
        <f t="shared" si="4"/>
        <v>1945.0506090909087</v>
      </c>
      <c r="K22" s="20">
        <f>COUNTIF(Vertices[Betweenness Centrality], "&gt;= " &amp; J22) - COUNTIF(Vertices[Betweenness Centrality], "&gt;=" &amp; J23)</f>
        <v>1</v>
      </c>
      <c r="L22" s="19">
        <f t="shared" si="5"/>
        <v>1.0939090909090909E-3</v>
      </c>
      <c r="M22" s="20">
        <f>COUNTIF(Vertices[Closeness Centrality], "&gt;= " &amp; L22) - COUNTIF(Vertices[Closeness Centrality], "&gt;=" &amp; L23)</f>
        <v>12</v>
      </c>
      <c r="N22" s="19">
        <f t="shared" si="6"/>
        <v>1.0048181818181822E-2</v>
      </c>
      <c r="O22" s="20">
        <f>COUNTIF(Vertices[Eigenvector Centrality], "&gt;= " &amp; N22) - COUNTIF(Vertices[Eigenvector Centrality], "&gt;=" &amp; N23)</f>
        <v>2</v>
      </c>
      <c r="P22" s="19">
        <f t="shared" si="7"/>
        <v>2.6475240000000007</v>
      </c>
      <c r="Q22" s="20">
        <f>COUNTIF(Vertices[PageRank], "&gt;= " &amp; P22) - COUNTIF(Vertices[PageRank], "&gt;=" &amp; P23)</f>
        <v>0</v>
      </c>
      <c r="R22" s="19">
        <f t="shared" si="8"/>
        <v>0.3636363636363637</v>
      </c>
      <c r="S22" s="25">
        <f>COUNTIF(Vertices[Clustering Coefficient], "&gt;= " &amp; R22) - COUNTIF(Vertices[Clustering Coefficient], "&gt;=" &amp; R23)</f>
        <v>0</v>
      </c>
      <c r="T22" s="19">
        <f t="shared" ca="1" si="9"/>
        <v>0.3636363636363637</v>
      </c>
      <c r="U22" s="20">
        <f t="shared" ca="1" si="0"/>
        <v>0</v>
      </c>
    </row>
    <row r="23" spans="1:21" x14ac:dyDescent="0.3">
      <c r="A23" s="16" t="s">
        <v>158</v>
      </c>
      <c r="B23" s="16">
        <v>1.4527416068739481E-2</v>
      </c>
      <c r="D23" s="14">
        <f t="shared" si="1"/>
        <v>8.2545454545454575</v>
      </c>
      <c r="E23" s="3">
        <f>COUNTIF(Vertices[Degree], "&gt;= " &amp; D23) - COUNTIF(Vertices[Degree], "&gt;=" &amp; D24)</f>
        <v>0</v>
      </c>
      <c r="F23" s="21">
        <f t="shared" si="2"/>
        <v>0</v>
      </c>
      <c r="G23" s="22">
        <f>COUNTIF(Vertices[In-Degree], "&gt;= " &amp; F23) - COUNTIF(Vertices[In-Degree], "&gt;=" &amp; F24)</f>
        <v>0</v>
      </c>
      <c r="H23" s="21">
        <f t="shared" si="3"/>
        <v>0</v>
      </c>
      <c r="I23" s="22">
        <f>COUNTIF(Vertices[Out-Degree], "&gt;= " &amp; H23) - COUNTIF(Vertices[Out-Degree], "&gt;=" &amp; H24)</f>
        <v>0</v>
      </c>
      <c r="J23" s="21">
        <f t="shared" si="4"/>
        <v>2042.3031395454541</v>
      </c>
      <c r="K23" s="22">
        <f>COUNTIF(Vertices[Betweenness Centrality], "&gt;= " &amp; J23) - COUNTIF(Vertices[Betweenness Centrality], "&gt;=" &amp; J24)</f>
        <v>0</v>
      </c>
      <c r="L23" s="21">
        <f t="shared" si="5"/>
        <v>1.1086545454545454E-3</v>
      </c>
      <c r="M23" s="22">
        <f>COUNTIF(Vertices[Closeness Centrality], "&gt;= " &amp; L23) - COUNTIF(Vertices[Closeness Centrality], "&gt;=" &amp; L24)</f>
        <v>8</v>
      </c>
      <c r="N23" s="21">
        <f t="shared" si="6"/>
        <v>1.0545090909090914E-2</v>
      </c>
      <c r="O23" s="22">
        <f>COUNTIF(Vertices[Eigenvector Centrality], "&gt;= " &amp; N23) - COUNTIF(Vertices[Eigenvector Centrality], "&gt;=" &amp; N24)</f>
        <v>1</v>
      </c>
      <c r="P23" s="21">
        <f t="shared" si="7"/>
        <v>2.7613022000000007</v>
      </c>
      <c r="Q23" s="22">
        <f>COUNTIF(Vertices[PageRank], "&gt;= " &amp; P23) - COUNTIF(Vertices[PageRank], "&gt;=" &amp; P24)</f>
        <v>2</v>
      </c>
      <c r="R23" s="21">
        <f t="shared" si="8"/>
        <v>0.38181818181818189</v>
      </c>
      <c r="S23" s="26">
        <f>COUNTIF(Vertices[Clustering Coefficient], "&gt;= " &amp; R23) - COUNTIF(Vertices[Clustering Coefficient], "&gt;=" &amp; R24)</f>
        <v>0</v>
      </c>
      <c r="T23" s="21">
        <f t="shared" ca="1" si="9"/>
        <v>0.38181818181818189</v>
      </c>
      <c r="U23" s="22">
        <f t="shared" ca="1" si="0"/>
        <v>0</v>
      </c>
    </row>
    <row r="24" spans="1:21" x14ac:dyDescent="0.3">
      <c r="A24" s="16" t="s">
        <v>750</v>
      </c>
      <c r="B24" s="16">
        <v>0.593669</v>
      </c>
      <c r="D24" s="14">
        <f t="shared" si="1"/>
        <v>8.6000000000000032</v>
      </c>
      <c r="E24" s="3">
        <f>COUNTIF(Vertices[Degree], "&gt;= " &amp; D24) - COUNTIF(Vertices[Degree], "&gt;=" &amp; D25)</f>
        <v>0</v>
      </c>
      <c r="F24" s="19">
        <f t="shared" si="2"/>
        <v>0</v>
      </c>
      <c r="G24" s="20">
        <f>COUNTIF(Vertices[In-Degree], "&gt;= " &amp; F24) - COUNTIF(Vertices[In-Degree], "&gt;=" &amp; F25)</f>
        <v>0</v>
      </c>
      <c r="H24" s="19">
        <f t="shared" si="3"/>
        <v>0</v>
      </c>
      <c r="I24" s="20">
        <f>COUNTIF(Vertices[Out-Degree], "&gt;= " &amp; H24) - COUNTIF(Vertices[Out-Degree], "&gt;=" &amp; H25)</f>
        <v>0</v>
      </c>
      <c r="J24" s="19">
        <f t="shared" si="4"/>
        <v>2139.5556699999997</v>
      </c>
      <c r="K24" s="20">
        <f>COUNTIF(Vertices[Betweenness Centrality], "&gt;= " &amp; J24) - COUNTIF(Vertices[Betweenness Centrality], "&gt;=" &amp; J25)</f>
        <v>1</v>
      </c>
      <c r="L24" s="19">
        <f t="shared" si="5"/>
        <v>1.1233999999999999E-3</v>
      </c>
      <c r="M24" s="20">
        <f>COUNTIF(Vertices[Closeness Centrality], "&gt;= " &amp; L24) - COUNTIF(Vertices[Closeness Centrality], "&gt;=" &amp; L25)</f>
        <v>16</v>
      </c>
      <c r="N24" s="19">
        <f t="shared" si="6"/>
        <v>1.1042000000000005E-2</v>
      </c>
      <c r="O24" s="20">
        <f>COUNTIF(Vertices[Eigenvector Centrality], "&gt;= " &amp; N24) - COUNTIF(Vertices[Eigenvector Centrality], "&gt;=" &amp; N25)</f>
        <v>3</v>
      </c>
      <c r="P24" s="19">
        <f t="shared" si="7"/>
        <v>2.8750804000000008</v>
      </c>
      <c r="Q24" s="20">
        <f>COUNTIF(Vertices[PageRank], "&gt;= " &amp; P24) - COUNTIF(Vertices[PageRank], "&gt;=" &amp; P25)</f>
        <v>1</v>
      </c>
      <c r="R24" s="19">
        <f t="shared" si="8"/>
        <v>0.40000000000000008</v>
      </c>
      <c r="S24" s="25">
        <f>COUNTIF(Vertices[Clustering Coefficient], "&gt;= " &amp; R24) - COUNTIF(Vertices[Clustering Coefficient], "&gt;=" &amp; R25)</f>
        <v>0</v>
      </c>
      <c r="T24" s="19">
        <f t="shared" ca="1" si="9"/>
        <v>0.40000000000000008</v>
      </c>
      <c r="U24" s="20">
        <f t="shared" ca="1" si="0"/>
        <v>0</v>
      </c>
    </row>
    <row r="25" spans="1:21" x14ac:dyDescent="0.3">
      <c r="A25" s="146"/>
      <c r="B25" s="146"/>
      <c r="D25" s="14">
        <f t="shared" si="1"/>
        <v>8.9454545454545489</v>
      </c>
      <c r="E25" s="3">
        <f>COUNTIF(Vertices[Degree], "&gt;= " &amp; D25) - COUNTIF(Vertices[Degree], "&gt;=" &amp; D26)</f>
        <v>5</v>
      </c>
      <c r="F25" s="21">
        <f t="shared" si="2"/>
        <v>0</v>
      </c>
      <c r="G25" s="22">
        <f>COUNTIF(Vertices[In-Degree], "&gt;= " &amp; F25) - COUNTIF(Vertices[In-Degree], "&gt;=" &amp; F26)</f>
        <v>0</v>
      </c>
      <c r="H25" s="21">
        <f t="shared" si="3"/>
        <v>0</v>
      </c>
      <c r="I25" s="22">
        <f>COUNTIF(Vertices[Out-Degree], "&gt;= " &amp; H25) - COUNTIF(Vertices[Out-Degree], "&gt;=" &amp; H26)</f>
        <v>0</v>
      </c>
      <c r="J25" s="21">
        <f t="shared" si="4"/>
        <v>2236.8082004545454</v>
      </c>
      <c r="K25" s="22">
        <f>COUNTIF(Vertices[Betweenness Centrality], "&gt;= " &amp; J25) - COUNTIF(Vertices[Betweenness Centrality], "&gt;=" &amp; J26)</f>
        <v>0</v>
      </c>
      <c r="L25" s="21">
        <f t="shared" si="5"/>
        <v>1.1381454545454544E-3</v>
      </c>
      <c r="M25" s="22">
        <f>COUNTIF(Vertices[Closeness Centrality], "&gt;= " &amp; L25) - COUNTIF(Vertices[Closeness Centrality], "&gt;=" &amp; L26)</f>
        <v>3</v>
      </c>
      <c r="N25" s="21">
        <f t="shared" si="6"/>
        <v>1.1538909090909096E-2</v>
      </c>
      <c r="O25" s="22">
        <f>COUNTIF(Vertices[Eigenvector Centrality], "&gt;= " &amp; N25) - COUNTIF(Vertices[Eigenvector Centrality], "&gt;=" &amp; N26)</f>
        <v>2</v>
      </c>
      <c r="P25" s="21">
        <f t="shared" si="7"/>
        <v>2.9888586000000008</v>
      </c>
      <c r="Q25" s="22">
        <f>COUNTIF(Vertices[PageRank], "&gt;= " &amp; P25) - COUNTIF(Vertices[PageRank], "&gt;=" &amp; P26)</f>
        <v>0</v>
      </c>
      <c r="R25" s="21">
        <f t="shared" si="8"/>
        <v>0.41818181818181827</v>
      </c>
      <c r="S25" s="26">
        <f>COUNTIF(Vertices[Clustering Coefficient], "&gt;= " &amp; R25) - COUNTIF(Vertices[Clustering Coefficient], "&gt;=" &amp; R26)</f>
        <v>0</v>
      </c>
      <c r="T25" s="21">
        <f t="shared" ca="1" si="9"/>
        <v>0.41818181818181827</v>
      </c>
      <c r="U25" s="22">
        <f t="shared" ca="1" si="0"/>
        <v>0</v>
      </c>
    </row>
    <row r="26" spans="1:21" x14ac:dyDescent="0.3">
      <c r="A26" s="16" t="s">
        <v>751</v>
      </c>
      <c r="B26" s="16" t="s">
        <v>753</v>
      </c>
      <c r="D26" s="14">
        <f t="shared" si="1"/>
        <v>9.2909090909090946</v>
      </c>
      <c r="E26" s="3">
        <f>COUNTIF(Vertices[Degree], "&gt;= " &amp; D26) - COUNTIF(Vertices[Degree], "&gt;=" &amp; D28)</f>
        <v>0</v>
      </c>
      <c r="F26" s="19">
        <f t="shared" si="2"/>
        <v>0</v>
      </c>
      <c r="G26" s="20">
        <f>COUNTIF(Vertices[In-Degree], "&gt;= " &amp; F26) - COUNTIF(Vertices[In-Degree], "&gt;=" &amp; F28)</f>
        <v>0</v>
      </c>
      <c r="H26" s="19">
        <f t="shared" si="3"/>
        <v>0</v>
      </c>
      <c r="I26" s="20">
        <f>COUNTIF(Vertices[Out-Degree], "&gt;= " &amp; H26) - COUNTIF(Vertices[Out-Degree], "&gt;=" &amp; H28)</f>
        <v>0</v>
      </c>
      <c r="J26" s="19">
        <f t="shared" si="4"/>
        <v>2334.060730909091</v>
      </c>
      <c r="K26" s="20">
        <f>COUNTIF(Vertices[Betweenness Centrality], "&gt;= " &amp; J26) - COUNTIF(Vertices[Betweenness Centrality], "&gt;=" &amp; J28)</f>
        <v>0</v>
      </c>
      <c r="L26" s="19">
        <f t="shared" si="5"/>
        <v>1.1528909090909088E-3</v>
      </c>
      <c r="M26" s="20">
        <f>COUNTIF(Vertices[Closeness Centrality], "&gt;= " &amp; L26) - COUNTIF(Vertices[Closeness Centrality], "&gt;=" &amp; L28)</f>
        <v>6</v>
      </c>
      <c r="N26" s="19">
        <f t="shared" si="6"/>
        <v>1.2035818181818187E-2</v>
      </c>
      <c r="O26" s="20">
        <f>COUNTIF(Vertices[Eigenvector Centrality], "&gt;= " &amp; N26) - COUNTIF(Vertices[Eigenvector Centrality], "&gt;=" &amp; N28)</f>
        <v>0</v>
      </c>
      <c r="P26" s="19">
        <f t="shared" si="7"/>
        <v>3.1026368000000009</v>
      </c>
      <c r="Q26" s="20">
        <f>COUNTIF(Vertices[PageRank], "&gt;= " &amp; P26) - COUNTIF(Vertices[PageRank], "&gt;=" &amp; P28)</f>
        <v>1</v>
      </c>
      <c r="R26" s="19">
        <f t="shared" si="8"/>
        <v>0.43636363636363645</v>
      </c>
      <c r="S26" s="25">
        <f>COUNTIF(Vertices[Clustering Coefficient], "&gt;= " &amp; R26) - COUNTIF(Vertices[Clustering Coefficient], "&gt;=" &amp; R28)</f>
        <v>0</v>
      </c>
      <c r="T26" s="19">
        <f t="shared" ca="1" si="9"/>
        <v>0.43636363636363645</v>
      </c>
      <c r="U26" s="20">
        <f ca="1">COUNTIF(INDIRECT(DynamicFilterSourceColumnRange), "&gt;= " &amp; T26) - COUNTIF(INDIRECT(DynamicFilterSourceColumnRange), "&gt;=" &amp; T28)</f>
        <v>0</v>
      </c>
    </row>
    <row r="27" spans="1:21" x14ac:dyDescent="0.3">
      <c r="D27" s="14"/>
      <c r="E27" s="3">
        <f>COUNTIF(Vertices[Degree], "&gt;= " &amp; D27) - COUNTIF(Vertices[Degree], "&gt;=" &amp; D28)</f>
        <v>-15</v>
      </c>
      <c r="F27" s="40"/>
      <c r="G27" s="41">
        <f>COUNTIF(Vertices[In-Degree], "&gt;= " &amp; F27) - COUNTIF(Vertices[In-Degree], "&gt;=" &amp; F28)</f>
        <v>0</v>
      </c>
      <c r="H27" s="40"/>
      <c r="I27" s="41">
        <f>COUNTIF(Vertices[Out-Degree], "&gt;= " &amp; H27) - COUNTIF(Vertices[Out-Degree], "&gt;=" &amp; H28)</f>
        <v>0</v>
      </c>
      <c r="J27" s="40"/>
      <c r="K27" s="41">
        <f>COUNTIF(Vertices[Betweenness Centrality], "&gt;= " &amp; J27) - COUNTIF(Vertices[Betweenness Centrality], "&gt;=" &amp; J28)</f>
        <v>-4</v>
      </c>
      <c r="L27" s="40"/>
      <c r="M27" s="41">
        <f>COUNTIF(Vertices[Closeness Centrality], "&gt;= " &amp; L27) - COUNTIF(Vertices[Closeness Centrality], "&gt;=" &amp; L28)</f>
        <v>-91</v>
      </c>
      <c r="N27" s="40"/>
      <c r="O27" s="41">
        <f>COUNTIF(Vertices[Eigenvector Centrality], "&gt;= " &amp; N27) - COUNTIF(Vertices[Eigenvector Centrality], "&gt;=" &amp; N28)</f>
        <v>-20</v>
      </c>
      <c r="P27" s="40"/>
      <c r="Q27" s="41">
        <f>COUNTIF(Vertices[Eigenvector Centrality], "&gt;= " &amp; P27) - COUNTIF(Vertices[Eigenvector Centrality], "&gt;=" &amp; P28)</f>
        <v>0</v>
      </c>
      <c r="R27" s="40"/>
      <c r="S27" s="42">
        <f>COUNTIF(Vertices[Clustering Coefficient], "&gt;= " &amp; R27) - COUNTIF(Vertices[Clustering Coefficient], "&gt;=" &amp; R28)</f>
        <v>-2</v>
      </c>
      <c r="T27" s="40"/>
      <c r="U27" s="41">
        <f ca="1">COUNTIF(Vertices[Clustering Coefficient], "&gt;= " &amp; T27) - COUNTIF(Vertices[Clustering Coefficient], "&gt;=" &amp; T28)</f>
        <v>-2</v>
      </c>
    </row>
    <row r="28" spans="1:21" x14ac:dyDescent="0.3">
      <c r="D28" s="14">
        <f>D26+($D$57-$D$2)/BinDivisor</f>
        <v>9.6363636363636402</v>
      </c>
      <c r="E28" s="3">
        <f>COUNTIF(Vertices[Degree], "&gt;= " &amp; D28) - COUNTIF(Vertices[Degree], "&gt;=" &amp; D40)</f>
        <v>0</v>
      </c>
      <c r="F28" s="21">
        <f>F26+($F$57-$F$2)/BinDivisor</f>
        <v>0</v>
      </c>
      <c r="G28" s="22">
        <f>COUNTIF(Vertices[In-Degree], "&gt;= " &amp; F28) - COUNTIF(Vertices[In-Degree], "&gt;=" &amp; F40)</f>
        <v>0</v>
      </c>
      <c r="H28" s="21">
        <f>H26+($H$57-$H$2)/BinDivisor</f>
        <v>0</v>
      </c>
      <c r="I28" s="22">
        <f>COUNTIF(Vertices[Out-Degree], "&gt;= " &amp; H28) - COUNTIF(Vertices[Out-Degree], "&gt;=" &amp; H40)</f>
        <v>0</v>
      </c>
      <c r="J28" s="21">
        <f>J26+($J$57-$J$2)/BinDivisor</f>
        <v>2431.3132613636367</v>
      </c>
      <c r="K28" s="22">
        <f>COUNTIF(Vertices[Betweenness Centrality], "&gt;= " &amp; J28) - COUNTIF(Vertices[Betweenness Centrality], "&gt;=" &amp; J40)</f>
        <v>0</v>
      </c>
      <c r="L28" s="21">
        <f>L26+($L$57-$L$2)/BinDivisor</f>
        <v>1.1676363636363633E-3</v>
      </c>
      <c r="M28" s="22">
        <f>COUNTIF(Vertices[Closeness Centrality], "&gt;= " &amp; L28) - COUNTIF(Vertices[Closeness Centrality], "&gt;=" &amp; L40)</f>
        <v>2</v>
      </c>
      <c r="N28" s="21">
        <f>N26+($N$57-$N$2)/BinDivisor</f>
        <v>1.2532727272727279E-2</v>
      </c>
      <c r="O28" s="22">
        <f>COUNTIF(Vertices[Eigenvector Centrality], "&gt;= " &amp; N28) - COUNTIF(Vertices[Eigenvector Centrality], "&gt;=" &amp; N40)</f>
        <v>3</v>
      </c>
      <c r="P28" s="21">
        <f>P26+($P$57-$P$2)/BinDivisor</f>
        <v>3.2164150000000009</v>
      </c>
      <c r="Q28" s="22">
        <f>COUNTIF(Vertices[PageRank], "&gt;= " &amp; P28) - COUNTIF(Vertices[PageRank], "&gt;=" &amp; P40)</f>
        <v>3</v>
      </c>
      <c r="R28" s="21">
        <f>R26+($R$57-$R$2)/BinDivisor</f>
        <v>0.45454545454545464</v>
      </c>
      <c r="S28" s="26">
        <f>COUNTIF(Vertices[Clustering Coefficient], "&gt;= " &amp; R28) - COUNTIF(Vertices[Clustering Coefficient], "&gt;=" &amp; R40)</f>
        <v>0</v>
      </c>
      <c r="T28" s="21">
        <f ca="1">T26+($T$57-$T$2)/BinDivisor</f>
        <v>0.45454545454545464</v>
      </c>
      <c r="U28" s="22">
        <f ca="1">COUNTIF(INDIRECT(DynamicFilterSourceColumnRange), "&gt;= " &amp; T28) - COUNTIF(INDIRECT(DynamicFilterSourceColumnRange), "&gt;=" &amp; T40)</f>
        <v>0</v>
      </c>
    </row>
    <row r="29" spans="1:21" x14ac:dyDescent="0.3">
      <c r="D29" s="14"/>
      <c r="E29" s="3">
        <f>COUNTIF(Vertices[Degree], "&gt;= " &amp; D29) - COUNTIF(Vertices[Degree], "&gt;=" &amp; D30)</f>
        <v>0</v>
      </c>
      <c r="F29" s="40"/>
      <c r="G29" s="41">
        <f>COUNTIF(Vertices[In-Degree], "&gt;= " &amp; F29) - COUNTIF(Vertices[In-Degree], "&gt;=" &amp; F30)</f>
        <v>0</v>
      </c>
      <c r="H29" s="40"/>
      <c r="I29" s="41">
        <f>COUNTIF(Vertices[Out-Degree], "&gt;= " &amp; H29) - COUNTIF(Vertices[Out-Degree], "&gt;=" &amp; H30)</f>
        <v>0</v>
      </c>
      <c r="J29" s="40"/>
      <c r="K29" s="41">
        <f>COUNTIF(Vertices[Betweenness Centrality], "&gt;= " &amp; J29) - COUNTIF(Vertices[Betweenness Centrality], "&gt;=" &amp; J30)</f>
        <v>0</v>
      </c>
      <c r="L29" s="40"/>
      <c r="M29" s="41">
        <f>COUNTIF(Vertices[Closeness Centrality], "&gt;= " &amp; L29) - COUNTIF(Vertices[Closeness Centrality], "&gt;=" &amp; L30)</f>
        <v>0</v>
      </c>
      <c r="N29" s="40"/>
      <c r="O29" s="41">
        <f>COUNTIF(Vertices[Eigenvector Centrality], "&gt;= " &amp; N29) - COUNTIF(Vertices[Eigenvector Centrality], "&gt;=" &amp; N30)</f>
        <v>0</v>
      </c>
      <c r="P29" s="40"/>
      <c r="Q29" s="41">
        <f>COUNTIF(Vertices[Eigenvector Centrality], "&gt;= " &amp; P29) - COUNTIF(Vertices[Eigenvector Centrality], "&gt;=" &amp; P30)</f>
        <v>0</v>
      </c>
      <c r="R29" s="40"/>
      <c r="S29" s="42">
        <f>COUNTIF(Vertices[Clustering Coefficient], "&gt;= " &amp; R29) - COUNTIF(Vertices[Clustering Coefficient], "&gt;=" &amp; R30)</f>
        <v>0</v>
      </c>
      <c r="T29" s="40"/>
      <c r="U29" s="41">
        <f>COUNTIF(Vertices[Clustering Coefficient], "&gt;= " &amp; T29) - COUNTIF(Vertices[Clustering Coefficient], "&gt;=" &amp; T30)</f>
        <v>0</v>
      </c>
    </row>
    <row r="30" spans="1:21" x14ac:dyDescent="0.3">
      <c r="D30" s="14"/>
      <c r="E30" s="3">
        <f>COUNTIF(Vertices[Degree], "&gt;= " &amp; D30) - COUNTIF(Vertices[Degree], "&gt;=" &amp; D31)</f>
        <v>0</v>
      </c>
      <c r="F30" s="40"/>
      <c r="G30" s="41">
        <f>COUNTIF(Vertices[In-Degree], "&gt;= " &amp; F30) - COUNTIF(Vertices[In-Degree], "&gt;=" &amp; F31)</f>
        <v>0</v>
      </c>
      <c r="H30" s="40"/>
      <c r="I30" s="41">
        <f>COUNTIF(Vertices[Out-Degree], "&gt;= " &amp; H30) - COUNTIF(Vertices[Out-Degree], "&gt;=" &amp; H31)</f>
        <v>0</v>
      </c>
      <c r="J30" s="40"/>
      <c r="K30" s="41">
        <f>COUNTIF(Vertices[Betweenness Centrality], "&gt;= " &amp; J30) - COUNTIF(Vertices[Betweenness Centrality], "&gt;=" &amp; J31)</f>
        <v>0</v>
      </c>
      <c r="L30" s="40"/>
      <c r="M30" s="41">
        <f>COUNTIF(Vertices[Closeness Centrality], "&gt;= " &amp; L30) - COUNTIF(Vertices[Closeness Centrality], "&gt;=" &amp; L31)</f>
        <v>0</v>
      </c>
      <c r="N30" s="40"/>
      <c r="O30" s="41">
        <f>COUNTIF(Vertices[Eigenvector Centrality], "&gt;= " &amp; N30) - COUNTIF(Vertices[Eigenvector Centrality], "&gt;=" &amp; N31)</f>
        <v>0</v>
      </c>
      <c r="P30" s="40"/>
      <c r="Q30" s="41">
        <f>COUNTIF(Vertices[Eigenvector Centrality], "&gt;= " &amp; P30) - COUNTIF(Vertices[Eigenvector Centrality], "&gt;=" &amp; P31)</f>
        <v>0</v>
      </c>
      <c r="R30" s="40"/>
      <c r="S30" s="42">
        <f>COUNTIF(Vertices[Clustering Coefficient], "&gt;= " &amp; R30) - COUNTIF(Vertices[Clustering Coefficient], "&gt;=" &amp; R31)</f>
        <v>0</v>
      </c>
      <c r="T30" s="40"/>
      <c r="U30" s="41">
        <f>COUNTIF(Vertices[Clustering Coefficient], "&gt;= " &amp; T30) - COUNTIF(Vertices[Clustering Coefficient], "&gt;=" &amp; T31)</f>
        <v>0</v>
      </c>
    </row>
    <row r="31" spans="1:21" x14ac:dyDescent="0.3">
      <c r="D31" s="14"/>
      <c r="E31" s="3">
        <f>COUNTIF(Vertices[Degree], "&gt;= " &amp; D31) - COUNTIF(Vertices[Degree], "&gt;=" &amp; D32)</f>
        <v>0</v>
      </c>
      <c r="F31" s="40"/>
      <c r="G31" s="41">
        <f>COUNTIF(Vertices[In-Degree], "&gt;= " &amp; F31) - COUNTIF(Vertices[In-Degree], "&gt;=" &amp; F32)</f>
        <v>0</v>
      </c>
      <c r="H31" s="40"/>
      <c r="I31" s="41">
        <f>COUNTIF(Vertices[Out-Degree], "&gt;= " &amp; H31) - COUNTIF(Vertices[Out-Degree], "&gt;=" &amp; H32)</f>
        <v>0</v>
      </c>
      <c r="J31" s="40"/>
      <c r="K31" s="41">
        <f>COUNTIF(Vertices[Betweenness Centrality], "&gt;= " &amp; J31) - COUNTIF(Vertices[Betweenness Centrality], "&gt;=" &amp; J32)</f>
        <v>0</v>
      </c>
      <c r="L31" s="40"/>
      <c r="M31" s="41">
        <f>COUNTIF(Vertices[Closeness Centrality], "&gt;= " &amp; L31) - COUNTIF(Vertices[Closeness Centrality], "&gt;=" &amp; L32)</f>
        <v>0</v>
      </c>
      <c r="N31" s="40"/>
      <c r="O31" s="41">
        <f>COUNTIF(Vertices[Eigenvector Centrality], "&gt;= " &amp; N31) - COUNTIF(Vertices[Eigenvector Centrality], "&gt;=" &amp; N32)</f>
        <v>0</v>
      </c>
      <c r="P31" s="40"/>
      <c r="Q31" s="41">
        <f>COUNTIF(Vertices[Eigenvector Centrality], "&gt;= " &amp; P31) - COUNTIF(Vertices[Eigenvector Centrality], "&gt;=" &amp; P32)</f>
        <v>0</v>
      </c>
      <c r="R31" s="40"/>
      <c r="S31" s="42">
        <f>COUNTIF(Vertices[Clustering Coefficient], "&gt;= " &amp; R31) - COUNTIF(Vertices[Clustering Coefficient], "&gt;=" &amp; R32)</f>
        <v>0</v>
      </c>
      <c r="T31" s="40"/>
      <c r="U31" s="41">
        <f>COUNTIF(Vertices[Clustering Coefficient], "&gt;= " &amp; T31) - COUNTIF(Vertices[Clustering Coefficient], "&gt;=" &amp; T32)</f>
        <v>0</v>
      </c>
    </row>
    <row r="32" spans="1:21" x14ac:dyDescent="0.3">
      <c r="D32" s="14"/>
      <c r="E32" s="3">
        <f>COUNTIF(Vertices[Degree], "&gt;= " &amp; D32) - COUNTIF(Vertices[Degree], "&gt;=" &amp; D33)</f>
        <v>0</v>
      </c>
      <c r="F32" s="40"/>
      <c r="G32" s="41">
        <f>COUNTIF(Vertices[In-Degree], "&gt;= " &amp; F32) - COUNTIF(Vertices[In-Degree], "&gt;=" &amp; F33)</f>
        <v>0</v>
      </c>
      <c r="H32" s="40"/>
      <c r="I32" s="41">
        <f>COUNTIF(Vertices[Out-Degree], "&gt;= " &amp; H32) - COUNTIF(Vertices[Out-Degree], "&gt;=" &amp; H33)</f>
        <v>0</v>
      </c>
      <c r="J32" s="40"/>
      <c r="K32" s="41">
        <f>COUNTIF(Vertices[Betweenness Centrality], "&gt;= " &amp; J32) - COUNTIF(Vertices[Betweenness Centrality], "&gt;=" &amp; J33)</f>
        <v>0</v>
      </c>
      <c r="L32" s="40"/>
      <c r="M32" s="41">
        <f>COUNTIF(Vertices[Closeness Centrality], "&gt;= " &amp; L32) - COUNTIF(Vertices[Closeness Centrality], "&gt;=" &amp; L33)</f>
        <v>0</v>
      </c>
      <c r="N32" s="40"/>
      <c r="O32" s="41">
        <f>COUNTIF(Vertices[Eigenvector Centrality], "&gt;= " &amp; N32) - COUNTIF(Vertices[Eigenvector Centrality], "&gt;=" &amp; N33)</f>
        <v>0</v>
      </c>
      <c r="P32" s="40"/>
      <c r="Q32" s="41">
        <f>COUNTIF(Vertices[Eigenvector Centrality], "&gt;= " &amp; P32) - COUNTIF(Vertices[Eigenvector Centrality], "&gt;=" &amp; P33)</f>
        <v>0</v>
      </c>
      <c r="R32" s="40"/>
      <c r="S32" s="42">
        <f>COUNTIF(Vertices[Clustering Coefficient], "&gt;= " &amp; R32) - COUNTIF(Vertices[Clustering Coefficient], "&gt;=" &amp; R33)</f>
        <v>0</v>
      </c>
      <c r="T32" s="40"/>
      <c r="U32" s="41">
        <f>COUNTIF(Vertices[Clustering Coefficient], "&gt;= " &amp; T32) - COUNTIF(Vertices[Clustering Coefficient], "&gt;=" &amp; T33)</f>
        <v>0</v>
      </c>
    </row>
    <row r="33" spans="1:21" x14ac:dyDescent="0.3">
      <c r="D33" s="14"/>
      <c r="E33" s="3">
        <f>COUNTIF(Vertices[Degree], "&gt;= " &amp; D33) - COUNTIF(Vertices[Degree], "&gt;=" &amp; D38)</f>
        <v>0</v>
      </c>
      <c r="F33" s="40"/>
      <c r="G33" s="41">
        <f>COUNTIF(Vertices[In-Degree], "&gt;= " &amp; F33) - COUNTIF(Vertices[In-Degree], "&gt;=" &amp; F38)</f>
        <v>0</v>
      </c>
      <c r="H33" s="40"/>
      <c r="I33" s="41">
        <f>COUNTIF(Vertices[Out-Degree], "&gt;= " &amp; H33) - COUNTIF(Vertices[Out-Degree], "&gt;=" &amp; H38)</f>
        <v>0</v>
      </c>
      <c r="J33" s="40"/>
      <c r="K33" s="41">
        <f>COUNTIF(Vertices[Betweenness Centrality], "&gt;= " &amp; J33) - COUNTIF(Vertices[Betweenness Centrality], "&gt;=" &amp; J38)</f>
        <v>0</v>
      </c>
      <c r="L33" s="40"/>
      <c r="M33" s="41">
        <f>COUNTIF(Vertices[Closeness Centrality], "&gt;= " &amp; L33) - COUNTIF(Vertices[Closeness Centrality], "&gt;=" &amp; L38)</f>
        <v>0</v>
      </c>
      <c r="N33" s="40"/>
      <c r="O33" s="41">
        <f>COUNTIF(Vertices[Eigenvector Centrality], "&gt;= " &amp; N33) - COUNTIF(Vertices[Eigenvector Centrality], "&gt;=" &amp; N38)</f>
        <v>0</v>
      </c>
      <c r="P33" s="40"/>
      <c r="Q33" s="41">
        <f>COUNTIF(Vertices[Eigenvector Centrality], "&gt;= " &amp; P33) - COUNTIF(Vertices[Eigenvector Centrality], "&gt;=" &amp; P38)</f>
        <v>0</v>
      </c>
      <c r="R33" s="40"/>
      <c r="S33" s="42">
        <f>COUNTIF(Vertices[Clustering Coefficient], "&gt;= " &amp; R33) - COUNTIF(Vertices[Clustering Coefficient], "&gt;=" &amp; R38)</f>
        <v>0</v>
      </c>
      <c r="T33" s="40"/>
      <c r="U33" s="41">
        <f>COUNTIF(Vertices[Clustering Coefficient], "&gt;= " &amp; T33) - COUNTIF(Vertices[Clustering Coefficient], "&gt;=" &amp; T38)</f>
        <v>0</v>
      </c>
    </row>
    <row r="34" spans="1:21" x14ac:dyDescent="0.3">
      <c r="D34" s="14"/>
      <c r="E34" s="3">
        <f>COUNTIF(Vertices[Degree], "&gt;= " &amp; D34) - COUNTIF(Vertices[Degree], "&gt;=" &amp; D35)</f>
        <v>0</v>
      </c>
      <c r="F34" s="40"/>
      <c r="G34" s="41">
        <f>COUNTIF(Vertices[In-Degree], "&gt;= " &amp; F34) - COUNTIF(Vertices[In-Degree], "&gt;=" &amp; F35)</f>
        <v>0</v>
      </c>
      <c r="H34" s="40"/>
      <c r="I34" s="41">
        <f>COUNTIF(Vertices[Out-Degree], "&gt;= " &amp; H34) - COUNTIF(Vertices[Out-Degree], "&gt;=" &amp; H35)</f>
        <v>0</v>
      </c>
      <c r="J34" s="40"/>
      <c r="K34" s="41">
        <f>COUNTIF(Vertices[Betweenness Centrality], "&gt;= " &amp; J34) - COUNTIF(Vertices[Betweenness Centrality], "&gt;=" &amp; J35)</f>
        <v>0</v>
      </c>
      <c r="L34" s="40"/>
      <c r="M34" s="41">
        <f>COUNTIF(Vertices[Closeness Centrality], "&gt;= " &amp; L34) - COUNTIF(Vertices[Closeness Centrality], "&gt;=" &amp; L35)</f>
        <v>0</v>
      </c>
      <c r="N34" s="40"/>
      <c r="O34" s="41">
        <f>COUNTIF(Vertices[Eigenvector Centrality], "&gt;= " &amp; N34) - COUNTIF(Vertices[Eigenvector Centrality], "&gt;=" &amp; N35)</f>
        <v>0</v>
      </c>
      <c r="P34" s="40"/>
      <c r="Q34" s="41">
        <f>COUNTIF(Vertices[Eigenvector Centrality], "&gt;= " &amp; P34) - COUNTIF(Vertices[Eigenvector Centrality], "&gt;=" &amp; P35)</f>
        <v>0</v>
      </c>
      <c r="R34" s="40"/>
      <c r="S34" s="42">
        <f>COUNTIF(Vertices[Clustering Coefficient], "&gt;= " &amp; R34) - COUNTIF(Vertices[Clustering Coefficient], "&gt;=" &amp; R35)</f>
        <v>0</v>
      </c>
      <c r="T34" s="40"/>
      <c r="U34" s="41">
        <f>COUNTIF(Vertices[Clustering Coefficient], "&gt;= " &amp; T34) - COUNTIF(Vertices[Clustering Coefficient], "&gt;=" &amp; T35)</f>
        <v>0</v>
      </c>
    </row>
    <row r="35" spans="1:21" x14ac:dyDescent="0.3">
      <c r="D35" s="14"/>
      <c r="E35" s="3">
        <f>COUNTIF(Vertices[Degree], "&gt;= " &amp; D35) - COUNTIF(Vertices[Degree], "&gt;=" &amp; D36)</f>
        <v>0</v>
      </c>
      <c r="F35" s="40"/>
      <c r="G35" s="41">
        <f>COUNTIF(Vertices[In-Degree], "&gt;= " &amp; F35) - COUNTIF(Vertices[In-Degree], "&gt;=" &amp; F36)</f>
        <v>0</v>
      </c>
      <c r="H35" s="40"/>
      <c r="I35" s="41">
        <f>COUNTIF(Vertices[Out-Degree], "&gt;= " &amp; H35) - COUNTIF(Vertices[Out-Degree], "&gt;=" &amp; H36)</f>
        <v>0</v>
      </c>
      <c r="J35" s="40"/>
      <c r="K35" s="41">
        <f>COUNTIF(Vertices[Betweenness Centrality], "&gt;= " &amp; J35) - COUNTIF(Vertices[Betweenness Centrality], "&gt;=" &amp; J36)</f>
        <v>0</v>
      </c>
      <c r="L35" s="40"/>
      <c r="M35" s="41">
        <f>COUNTIF(Vertices[Closeness Centrality], "&gt;= " &amp; L35) - COUNTIF(Vertices[Closeness Centrality], "&gt;=" &amp; L36)</f>
        <v>0</v>
      </c>
      <c r="N35" s="40"/>
      <c r="O35" s="41">
        <f>COUNTIF(Vertices[Eigenvector Centrality], "&gt;= " &amp; N35) - COUNTIF(Vertices[Eigenvector Centrality], "&gt;=" &amp; N36)</f>
        <v>0</v>
      </c>
      <c r="P35" s="40"/>
      <c r="Q35" s="41">
        <f>COUNTIF(Vertices[Eigenvector Centrality], "&gt;= " &amp; P35) - COUNTIF(Vertices[Eigenvector Centrality], "&gt;=" &amp; P36)</f>
        <v>0</v>
      </c>
      <c r="R35" s="40"/>
      <c r="S35" s="42">
        <f>COUNTIF(Vertices[Clustering Coefficient], "&gt;= " &amp; R35) - COUNTIF(Vertices[Clustering Coefficient], "&gt;=" &amp; R36)</f>
        <v>0</v>
      </c>
      <c r="T35" s="40"/>
      <c r="U35" s="41">
        <f>COUNTIF(Vertices[Clustering Coefficient], "&gt;= " &amp; T35) - COUNTIF(Vertices[Clustering Coefficient], "&gt;=" &amp; T36)</f>
        <v>0</v>
      </c>
    </row>
    <row r="36" spans="1:21" x14ac:dyDescent="0.3">
      <c r="D36" s="14"/>
      <c r="E36" s="3">
        <f>COUNTIF(Vertices[Degree], "&gt;= " &amp; D36) - COUNTIF(Vertices[Degree], "&gt;=" &amp; D37)</f>
        <v>0</v>
      </c>
      <c r="F36" s="40"/>
      <c r="G36" s="41">
        <f>COUNTIF(Vertices[In-Degree], "&gt;= " &amp; F36) - COUNTIF(Vertices[In-Degree], "&gt;=" &amp; F37)</f>
        <v>0</v>
      </c>
      <c r="H36" s="40"/>
      <c r="I36" s="41">
        <f>COUNTIF(Vertices[Out-Degree], "&gt;= " &amp; H36) - COUNTIF(Vertices[Out-Degree], "&gt;=" &amp; H37)</f>
        <v>0</v>
      </c>
      <c r="J36" s="40"/>
      <c r="K36" s="41">
        <f>COUNTIF(Vertices[Betweenness Centrality], "&gt;= " &amp; J36) - COUNTIF(Vertices[Betweenness Centrality], "&gt;=" &amp; J37)</f>
        <v>0</v>
      </c>
      <c r="L36" s="40"/>
      <c r="M36" s="41">
        <f>COUNTIF(Vertices[Closeness Centrality], "&gt;= " &amp; L36) - COUNTIF(Vertices[Closeness Centrality], "&gt;=" &amp; L37)</f>
        <v>0</v>
      </c>
      <c r="N36" s="40"/>
      <c r="O36" s="41">
        <f>COUNTIF(Vertices[Eigenvector Centrality], "&gt;= " &amp; N36) - COUNTIF(Vertices[Eigenvector Centrality], "&gt;=" &amp; N37)</f>
        <v>0</v>
      </c>
      <c r="P36" s="40"/>
      <c r="Q36" s="41">
        <f>COUNTIF(Vertices[Eigenvector Centrality], "&gt;= " &amp; P36) - COUNTIF(Vertices[Eigenvector Centrality], "&gt;=" &amp; P37)</f>
        <v>0</v>
      </c>
      <c r="R36" s="40"/>
      <c r="S36" s="42">
        <f>COUNTIF(Vertices[Clustering Coefficient], "&gt;= " &amp; R36) - COUNTIF(Vertices[Clustering Coefficient], "&gt;=" &amp; R37)</f>
        <v>0</v>
      </c>
      <c r="T36" s="40"/>
      <c r="U36" s="41">
        <f>COUNTIF(Vertices[Clustering Coefficient], "&gt;= " &amp; T36) - COUNTIF(Vertices[Clustering Coefficient], "&gt;=" &amp; T37)</f>
        <v>0</v>
      </c>
    </row>
    <row r="37" spans="1:21" x14ac:dyDescent="0.3">
      <c r="D37" s="14"/>
      <c r="E37" s="3">
        <f>COUNTIF(Vertices[Degree], "&gt;= " &amp; D37) - COUNTIF(Vertices[Degree], "&gt;=" &amp; D38)</f>
        <v>0</v>
      </c>
      <c r="F37" s="40"/>
      <c r="G37" s="41">
        <f>COUNTIF(Vertices[In-Degree], "&gt;= " &amp; F37) - COUNTIF(Vertices[In-Degree], "&gt;=" &amp; F38)</f>
        <v>0</v>
      </c>
      <c r="H37" s="40"/>
      <c r="I37" s="41">
        <f>COUNTIF(Vertices[Out-Degree], "&gt;= " &amp; H37) - COUNTIF(Vertices[Out-Degree], "&gt;=" &amp; H38)</f>
        <v>0</v>
      </c>
      <c r="J37" s="40"/>
      <c r="K37" s="41">
        <f>COUNTIF(Vertices[Betweenness Centrality], "&gt;= " &amp; J37) - COUNTIF(Vertices[Betweenness Centrality], "&gt;=" &amp; J38)</f>
        <v>0</v>
      </c>
      <c r="L37" s="40"/>
      <c r="M37" s="41">
        <f>COUNTIF(Vertices[Closeness Centrality], "&gt;= " &amp; L37) - COUNTIF(Vertices[Closeness Centrality], "&gt;=" &amp; L38)</f>
        <v>0</v>
      </c>
      <c r="N37" s="40"/>
      <c r="O37" s="41">
        <f>COUNTIF(Vertices[Eigenvector Centrality], "&gt;= " &amp; N37) - COUNTIF(Vertices[Eigenvector Centrality], "&gt;=" &amp; N38)</f>
        <v>0</v>
      </c>
      <c r="P37" s="40"/>
      <c r="Q37" s="41">
        <f>COUNTIF(Vertices[Eigenvector Centrality], "&gt;= " &amp; P37) - COUNTIF(Vertices[Eigenvector Centrality], "&gt;=" &amp; P38)</f>
        <v>0</v>
      </c>
      <c r="R37" s="40"/>
      <c r="S37" s="42">
        <f>COUNTIF(Vertices[Clustering Coefficient], "&gt;= " &amp; R37) - COUNTIF(Vertices[Clustering Coefficient], "&gt;=" &amp; R38)</f>
        <v>0</v>
      </c>
      <c r="T37" s="40"/>
      <c r="U37" s="41">
        <f>COUNTIF(Vertices[Clustering Coefficient], "&gt;= " &amp; T37) - COUNTIF(Vertices[Clustering Coefficient], "&gt;=" &amp; T38)</f>
        <v>0</v>
      </c>
    </row>
    <row r="38" spans="1:21" x14ac:dyDescent="0.3">
      <c r="D38" s="14"/>
      <c r="E38" s="3">
        <f>COUNTIF(Vertices[Degree], "&gt;= " &amp; D38) - COUNTIF(Vertices[Degree], "&gt;=" &amp; D40)</f>
        <v>-15</v>
      </c>
      <c r="F38" s="40"/>
      <c r="G38" s="41">
        <f>COUNTIF(Vertices[In-Degree], "&gt;= " &amp; F38) - COUNTIF(Vertices[In-Degree], "&gt;=" &amp; F40)</f>
        <v>0</v>
      </c>
      <c r="H38" s="40"/>
      <c r="I38" s="41">
        <f>COUNTIF(Vertices[Out-Degree], "&gt;= " &amp; H38) - COUNTIF(Vertices[Out-Degree], "&gt;=" &amp; H40)</f>
        <v>0</v>
      </c>
      <c r="J38" s="40"/>
      <c r="K38" s="41">
        <f>COUNTIF(Vertices[Betweenness Centrality], "&gt;= " &amp; J38) - COUNTIF(Vertices[Betweenness Centrality], "&gt;=" &amp; J40)</f>
        <v>-4</v>
      </c>
      <c r="L38" s="40"/>
      <c r="M38" s="41">
        <f>COUNTIF(Vertices[Closeness Centrality], "&gt;= " &amp; L38) - COUNTIF(Vertices[Closeness Centrality], "&gt;=" &amp; L40)</f>
        <v>-89</v>
      </c>
      <c r="N38" s="40"/>
      <c r="O38" s="41">
        <f>COUNTIF(Vertices[Eigenvector Centrality], "&gt;= " &amp; N38) - COUNTIF(Vertices[Eigenvector Centrality], "&gt;=" &amp; N40)</f>
        <v>-17</v>
      </c>
      <c r="P38" s="40"/>
      <c r="Q38" s="41">
        <f>COUNTIF(Vertices[Eigenvector Centrality], "&gt;= " &amp; P38) - COUNTIF(Vertices[Eigenvector Centrality], "&gt;=" &amp; P40)</f>
        <v>0</v>
      </c>
      <c r="R38" s="40"/>
      <c r="S38" s="42">
        <f>COUNTIF(Vertices[Clustering Coefficient], "&gt;= " &amp; R38) - COUNTIF(Vertices[Clustering Coefficient], "&gt;=" &amp; R40)</f>
        <v>-2</v>
      </c>
      <c r="T38" s="40"/>
      <c r="U38" s="41">
        <f ca="1">COUNTIF(Vertices[Clustering Coefficient], "&gt;= " &amp; T38) - COUNTIF(Vertices[Clustering Coefficient], "&gt;=" &amp; T40)</f>
        <v>-2</v>
      </c>
    </row>
    <row r="39" spans="1:21" x14ac:dyDescent="0.3">
      <c r="D39" s="14"/>
      <c r="E39" s="3">
        <f>COUNTIF(Vertices[Degree], "&gt;= " &amp; D39) - COUNTIF(Vertices[Degree], "&gt;=" &amp; D40)</f>
        <v>-15</v>
      </c>
      <c r="F39" s="40"/>
      <c r="G39" s="41">
        <f>COUNTIF(Vertices[In-Degree], "&gt;= " &amp; F39) - COUNTIF(Vertices[In-Degree], "&gt;=" &amp; F40)</f>
        <v>0</v>
      </c>
      <c r="H39" s="40"/>
      <c r="I39" s="41">
        <f>COUNTIF(Vertices[Out-Degree], "&gt;= " &amp; H39) - COUNTIF(Vertices[Out-Degree], "&gt;=" &amp; H40)</f>
        <v>0</v>
      </c>
      <c r="J39" s="40"/>
      <c r="K39" s="41">
        <f>COUNTIF(Vertices[Betweenness Centrality], "&gt;= " &amp; J39) - COUNTIF(Vertices[Betweenness Centrality], "&gt;=" &amp; J40)</f>
        <v>-4</v>
      </c>
      <c r="L39" s="40"/>
      <c r="M39" s="41">
        <f>COUNTIF(Vertices[Closeness Centrality], "&gt;= " &amp; L39) - COUNTIF(Vertices[Closeness Centrality], "&gt;=" &amp; L40)</f>
        <v>-89</v>
      </c>
      <c r="N39" s="40"/>
      <c r="O39" s="41">
        <f>COUNTIF(Vertices[Eigenvector Centrality], "&gt;= " &amp; N39) - COUNTIF(Vertices[Eigenvector Centrality], "&gt;=" &amp; N40)</f>
        <v>-17</v>
      </c>
      <c r="P39" s="40"/>
      <c r="Q39" s="41">
        <f>COUNTIF(Vertices[Eigenvector Centrality], "&gt;= " &amp; P39) - COUNTIF(Vertices[Eigenvector Centrality], "&gt;=" &amp; P40)</f>
        <v>0</v>
      </c>
      <c r="R39" s="40"/>
      <c r="S39" s="42">
        <f>COUNTIF(Vertices[Clustering Coefficient], "&gt;= " &amp; R39) - COUNTIF(Vertices[Clustering Coefficient], "&gt;=" &amp; R40)</f>
        <v>-2</v>
      </c>
      <c r="T39" s="40"/>
      <c r="U39" s="41">
        <f ca="1">COUNTIF(Vertices[Clustering Coefficient], "&gt;= " &amp; T39) - COUNTIF(Vertices[Clustering Coefficient], "&gt;=" &amp; T40)</f>
        <v>-2</v>
      </c>
    </row>
    <row r="40" spans="1:21" x14ac:dyDescent="0.3">
      <c r="D40" s="14">
        <f>D28+($D$57-$D$2)/BinDivisor</f>
        <v>9.9818181818181859</v>
      </c>
      <c r="E40" s="3">
        <f>COUNTIF(Vertices[Degree], "&gt;= " &amp; D40) - COUNTIF(Vertices[Degree], "&gt;=" &amp; D41)</f>
        <v>3</v>
      </c>
      <c r="F40" s="19">
        <f>F28+($F$57-$F$2)/BinDivisor</f>
        <v>0</v>
      </c>
      <c r="G40" s="20">
        <f>COUNTIF(Vertices[In-Degree], "&gt;= " &amp; F40) - COUNTIF(Vertices[In-Degree], "&gt;=" &amp; F41)</f>
        <v>0</v>
      </c>
      <c r="H40" s="19">
        <f>H28+($H$57-$H$2)/BinDivisor</f>
        <v>0</v>
      </c>
      <c r="I40" s="20">
        <f>COUNTIF(Vertices[Out-Degree], "&gt;= " &amp; H40) - COUNTIF(Vertices[Out-Degree], "&gt;=" &amp; H41)</f>
        <v>0</v>
      </c>
      <c r="J40" s="19">
        <f>J28+($J$57-$J$2)/BinDivisor</f>
        <v>2528.5657918181823</v>
      </c>
      <c r="K40" s="20">
        <f>COUNTIF(Vertices[Betweenness Centrality], "&gt;= " &amp; J40) - COUNTIF(Vertices[Betweenness Centrality], "&gt;=" &amp; J41)</f>
        <v>1</v>
      </c>
      <c r="L40" s="19">
        <f>L28+($L$57-$L$2)/BinDivisor</f>
        <v>1.1823818181818178E-3</v>
      </c>
      <c r="M40" s="20">
        <f>COUNTIF(Vertices[Closeness Centrality], "&gt;= " &amp; L40) - COUNTIF(Vertices[Closeness Centrality], "&gt;=" &amp; L41)</f>
        <v>9</v>
      </c>
      <c r="N40" s="19">
        <f>N28+($N$57-$N$2)/BinDivisor</f>
        <v>1.302963636363637E-2</v>
      </c>
      <c r="O40" s="20">
        <f>COUNTIF(Vertices[Eigenvector Centrality], "&gt;= " &amp; N40) - COUNTIF(Vertices[Eigenvector Centrality], "&gt;=" &amp; N41)</f>
        <v>1</v>
      </c>
      <c r="P40" s="19">
        <f>P28+($P$57-$P$2)/BinDivisor</f>
        <v>3.330193200000001</v>
      </c>
      <c r="Q40" s="20">
        <f>COUNTIF(Vertices[PageRank], "&gt;= " &amp; P40) - COUNTIF(Vertices[PageRank], "&gt;=" &amp; P41)</f>
        <v>2</v>
      </c>
      <c r="R40" s="19">
        <f>R28+($R$57-$R$2)/BinDivisor</f>
        <v>0.47272727272727283</v>
      </c>
      <c r="S40" s="25">
        <f>COUNTIF(Vertices[Clustering Coefficient], "&gt;= " &amp; R40) - COUNTIF(Vertices[Clustering Coefficient], "&gt;=" &amp; R41)</f>
        <v>0</v>
      </c>
      <c r="T40" s="19">
        <f ca="1">T28+($T$57-$T$2)/BinDivisor</f>
        <v>0.47272727272727283</v>
      </c>
      <c r="U40" s="20">
        <f t="shared" ca="1" si="0"/>
        <v>0</v>
      </c>
    </row>
    <row r="41" spans="1:21" x14ac:dyDescent="0.3">
      <c r="A41" t="s">
        <v>163</v>
      </c>
      <c r="B41" t="s">
        <v>17</v>
      </c>
      <c r="D41" s="14">
        <f t="shared" ref="D41:D56" si="10">D40+($D$57-$D$2)/BinDivisor</f>
        <v>10.327272727272732</v>
      </c>
      <c r="E41" s="3">
        <f>COUNTIF(Vertices[Degree], "&gt;= " &amp; D41) - COUNTIF(Vertices[Degree], "&gt;=" &amp; D42)</f>
        <v>0</v>
      </c>
      <c r="F41" s="21">
        <f t="shared" ref="F41:F56" si="11">F40+($F$57-$F$2)/BinDivisor</f>
        <v>0</v>
      </c>
      <c r="G41" s="22">
        <f>COUNTIF(Vertices[In-Degree], "&gt;= " &amp; F41) - COUNTIF(Vertices[In-Degree], "&gt;=" &amp; F42)</f>
        <v>0</v>
      </c>
      <c r="H41" s="21">
        <f t="shared" ref="H41:H56" si="12">H40+($H$57-$H$2)/BinDivisor</f>
        <v>0</v>
      </c>
      <c r="I41" s="22">
        <f>COUNTIF(Vertices[Out-Degree], "&gt;= " &amp; H41) - COUNTIF(Vertices[Out-Degree], "&gt;=" &amp; H42)</f>
        <v>0</v>
      </c>
      <c r="J41" s="21">
        <f t="shared" ref="J41:J56" si="13">J40+($J$57-$J$2)/BinDivisor</f>
        <v>2625.818322272728</v>
      </c>
      <c r="K41" s="22">
        <f>COUNTIF(Vertices[Betweenness Centrality], "&gt;= " &amp; J41) - COUNTIF(Vertices[Betweenness Centrality], "&gt;=" &amp; J42)</f>
        <v>0</v>
      </c>
      <c r="L41" s="21">
        <f t="shared" ref="L41:L56" si="14">L40+($L$57-$L$2)/BinDivisor</f>
        <v>1.1971272727272723E-3</v>
      </c>
      <c r="M41" s="22">
        <f>COUNTIF(Vertices[Closeness Centrality], "&gt;= " &amp; L41) - COUNTIF(Vertices[Closeness Centrality], "&gt;=" &amp; L42)</f>
        <v>17</v>
      </c>
      <c r="N41" s="21">
        <f t="shared" ref="N41:N56" si="15">N40+($N$57-$N$2)/BinDivisor</f>
        <v>1.3526545454545461E-2</v>
      </c>
      <c r="O41" s="22">
        <f>COUNTIF(Vertices[Eigenvector Centrality], "&gt;= " &amp; N41) - COUNTIF(Vertices[Eigenvector Centrality], "&gt;=" &amp; N42)</f>
        <v>0</v>
      </c>
      <c r="P41" s="21">
        <f t="shared" ref="P41:P56" si="16">P40+($P$57-$P$2)/BinDivisor</f>
        <v>3.443971400000001</v>
      </c>
      <c r="Q41" s="22">
        <f>COUNTIF(Vertices[PageRank], "&gt;= " &amp; P41) - COUNTIF(Vertices[PageRank], "&gt;=" &amp; P42)</f>
        <v>0</v>
      </c>
      <c r="R41" s="21">
        <f t="shared" ref="R41:R56" si="17">R40+($R$57-$R$2)/BinDivisor</f>
        <v>0.49090909090909102</v>
      </c>
      <c r="S41" s="26">
        <f>COUNTIF(Vertices[Clustering Coefficient], "&gt;= " &amp; R41) - COUNTIF(Vertices[Clustering Coefficient], "&gt;=" &amp; R42)</f>
        <v>0</v>
      </c>
      <c r="T41" s="21">
        <f t="shared" ref="T41:T56" ca="1" si="18">T40+($T$57-$T$2)/BinDivisor</f>
        <v>0.49090909090909102</v>
      </c>
      <c r="U41" s="22">
        <f t="shared" ca="1" si="0"/>
        <v>0</v>
      </c>
    </row>
    <row r="42" spans="1:21" x14ac:dyDescent="0.3">
      <c r="A42" s="15"/>
      <c r="B42" s="15"/>
      <c r="D42" s="14">
        <f t="shared" si="10"/>
        <v>10.672727272727277</v>
      </c>
      <c r="E42" s="3">
        <f>COUNTIF(Vertices[Degree], "&gt;= " &amp; D42) - COUNTIF(Vertices[Degree], "&gt;=" &amp; D43)</f>
        <v>2</v>
      </c>
      <c r="F42" s="19">
        <f t="shared" si="11"/>
        <v>0</v>
      </c>
      <c r="G42" s="20">
        <f>COUNTIF(Vertices[In-Degree], "&gt;= " &amp; F42) - COUNTIF(Vertices[In-Degree], "&gt;=" &amp; F43)</f>
        <v>0</v>
      </c>
      <c r="H42" s="19">
        <f t="shared" si="12"/>
        <v>0</v>
      </c>
      <c r="I42" s="20">
        <f>COUNTIF(Vertices[Out-Degree], "&gt;= " &amp; H42) - COUNTIF(Vertices[Out-Degree], "&gt;=" &amp; H43)</f>
        <v>0</v>
      </c>
      <c r="J42" s="19">
        <f t="shared" si="13"/>
        <v>2723.0708527272736</v>
      </c>
      <c r="K42" s="20">
        <f>COUNTIF(Vertices[Betweenness Centrality], "&gt;= " &amp; J42) - COUNTIF(Vertices[Betweenness Centrality], "&gt;=" &amp; J43)</f>
        <v>0</v>
      </c>
      <c r="L42" s="19">
        <f t="shared" si="14"/>
        <v>1.2118727272727268E-3</v>
      </c>
      <c r="M42" s="20">
        <f>COUNTIF(Vertices[Closeness Centrality], "&gt;= " &amp; L42) - COUNTIF(Vertices[Closeness Centrality], "&gt;=" &amp; L43)</f>
        <v>7</v>
      </c>
      <c r="N42" s="19">
        <f t="shared" si="15"/>
        <v>1.4023454545454552E-2</v>
      </c>
      <c r="O42" s="20">
        <f>COUNTIF(Vertices[Eigenvector Centrality], "&gt;= " &amp; N42) - COUNTIF(Vertices[Eigenvector Centrality], "&gt;=" &amp; N43)</f>
        <v>0</v>
      </c>
      <c r="P42" s="19">
        <f t="shared" si="16"/>
        <v>3.5577496000000011</v>
      </c>
      <c r="Q42" s="20">
        <f>COUNTIF(Vertices[PageRank], "&gt;= " &amp; P42) - COUNTIF(Vertices[PageRank], "&gt;=" &amp; P43)</f>
        <v>2</v>
      </c>
      <c r="R42" s="19">
        <f t="shared" si="17"/>
        <v>0.50909090909090915</v>
      </c>
      <c r="S42" s="25">
        <f>COUNTIF(Vertices[Clustering Coefficient], "&gt;= " &amp; R42) - COUNTIF(Vertices[Clustering Coefficient], "&gt;=" &amp; R43)</f>
        <v>0</v>
      </c>
      <c r="T42" s="19">
        <f t="shared" ca="1" si="18"/>
        <v>0.50909090909090915</v>
      </c>
      <c r="U42" s="20">
        <f t="shared" ca="1" si="0"/>
        <v>0</v>
      </c>
    </row>
    <row r="43" spans="1:21" x14ac:dyDescent="0.3">
      <c r="A43" s="15"/>
      <c r="B43" s="15"/>
      <c r="D43" s="14">
        <f t="shared" si="10"/>
        <v>11.018181818181823</v>
      </c>
      <c r="E43" s="3">
        <f>COUNTIF(Vertices[Degree], "&gt;= " &amp; D43) - COUNTIF(Vertices[Degree], "&gt;=" &amp; D44)</f>
        <v>0</v>
      </c>
      <c r="F43" s="21">
        <f t="shared" si="11"/>
        <v>0</v>
      </c>
      <c r="G43" s="22">
        <f>COUNTIF(Vertices[In-Degree], "&gt;= " &amp; F43) - COUNTIF(Vertices[In-Degree], "&gt;=" &amp; F44)</f>
        <v>0</v>
      </c>
      <c r="H43" s="21">
        <f t="shared" si="12"/>
        <v>0</v>
      </c>
      <c r="I43" s="22">
        <f>COUNTIF(Vertices[Out-Degree], "&gt;= " &amp; H43) - COUNTIF(Vertices[Out-Degree], "&gt;=" &amp; H44)</f>
        <v>0</v>
      </c>
      <c r="J43" s="21">
        <f t="shared" si="13"/>
        <v>2820.3233831818193</v>
      </c>
      <c r="K43" s="22">
        <f>COUNTIF(Vertices[Betweenness Centrality], "&gt;= " &amp; J43) - COUNTIF(Vertices[Betweenness Centrality], "&gt;=" &amp; J44)</f>
        <v>0</v>
      </c>
      <c r="L43" s="21">
        <f t="shared" si="14"/>
        <v>1.2266181818181812E-3</v>
      </c>
      <c r="M43" s="22">
        <f>COUNTIF(Vertices[Closeness Centrality], "&gt;= " &amp; L43) - COUNTIF(Vertices[Closeness Centrality], "&gt;=" &amp; L44)</f>
        <v>6</v>
      </c>
      <c r="N43" s="21">
        <f t="shared" si="15"/>
        <v>1.4520363636363644E-2</v>
      </c>
      <c r="O43" s="22">
        <f>COUNTIF(Vertices[Eigenvector Centrality], "&gt;= " &amp; N43) - COUNTIF(Vertices[Eigenvector Centrality], "&gt;=" &amp; N44)</f>
        <v>3</v>
      </c>
      <c r="P43" s="21">
        <f t="shared" si="16"/>
        <v>3.6715278000000011</v>
      </c>
      <c r="Q43" s="22">
        <f>COUNTIF(Vertices[PageRank], "&gt;= " &amp; P43) - COUNTIF(Vertices[PageRank], "&gt;=" &amp; P44)</f>
        <v>0</v>
      </c>
      <c r="R43" s="21">
        <f t="shared" si="17"/>
        <v>0.52727272727272734</v>
      </c>
      <c r="S43" s="26">
        <f>COUNTIF(Vertices[Clustering Coefficient], "&gt;= " &amp; R43) - COUNTIF(Vertices[Clustering Coefficient], "&gt;=" &amp; R44)</f>
        <v>0</v>
      </c>
      <c r="T43" s="21">
        <f t="shared" ca="1" si="18"/>
        <v>0.52727272727272734</v>
      </c>
      <c r="U43" s="22">
        <f t="shared" ca="1" si="0"/>
        <v>0</v>
      </c>
    </row>
    <row r="44" spans="1:21" x14ac:dyDescent="0.3">
      <c r="A44" s="15"/>
      <c r="B44" s="15"/>
      <c r="D44" s="14">
        <f t="shared" si="10"/>
        <v>11.363636363636369</v>
      </c>
      <c r="E44" s="3">
        <f>COUNTIF(Vertices[Degree], "&gt;= " &amp; D44) - COUNTIF(Vertices[Degree], "&gt;=" &amp; D45)</f>
        <v>0</v>
      </c>
      <c r="F44" s="19">
        <f t="shared" si="11"/>
        <v>0</v>
      </c>
      <c r="G44" s="20">
        <f>COUNTIF(Vertices[In-Degree], "&gt;= " &amp; F44) - COUNTIF(Vertices[In-Degree], "&gt;=" &amp; F45)</f>
        <v>0</v>
      </c>
      <c r="H44" s="19">
        <f t="shared" si="12"/>
        <v>0</v>
      </c>
      <c r="I44" s="20">
        <f>COUNTIF(Vertices[Out-Degree], "&gt;= " &amp; H44) - COUNTIF(Vertices[Out-Degree], "&gt;=" &amp; H45)</f>
        <v>0</v>
      </c>
      <c r="J44" s="19">
        <f t="shared" si="13"/>
        <v>2917.5759136363649</v>
      </c>
      <c r="K44" s="20">
        <f>COUNTIF(Vertices[Betweenness Centrality], "&gt;= " &amp; J44) - COUNTIF(Vertices[Betweenness Centrality], "&gt;=" &amp; J45)</f>
        <v>0</v>
      </c>
      <c r="L44" s="19">
        <f t="shared" si="14"/>
        <v>1.2413636363636357E-3</v>
      </c>
      <c r="M44" s="20">
        <f>COUNTIF(Vertices[Closeness Centrality], "&gt;= " &amp; L44) - COUNTIF(Vertices[Closeness Centrality], "&gt;=" &amp; L45)</f>
        <v>4</v>
      </c>
      <c r="N44" s="19">
        <f t="shared" si="15"/>
        <v>1.5017272727272735E-2</v>
      </c>
      <c r="O44" s="20">
        <f>COUNTIF(Vertices[Eigenvector Centrality], "&gt;= " &amp; N44) - COUNTIF(Vertices[Eigenvector Centrality], "&gt;=" &amp; N45)</f>
        <v>2</v>
      </c>
      <c r="P44" s="19">
        <f t="shared" si="16"/>
        <v>3.7853060000000012</v>
      </c>
      <c r="Q44" s="20">
        <f>COUNTIF(Vertices[PageRank], "&gt;= " &amp; P44) - COUNTIF(Vertices[PageRank], "&gt;=" &amp; P45)</f>
        <v>1</v>
      </c>
      <c r="R44" s="19">
        <f t="shared" si="17"/>
        <v>0.54545454545454553</v>
      </c>
      <c r="S44" s="25">
        <f>COUNTIF(Vertices[Clustering Coefficient], "&gt;= " &amp; R44) - COUNTIF(Vertices[Clustering Coefficient], "&gt;=" &amp; R45)</f>
        <v>0</v>
      </c>
      <c r="T44" s="19">
        <f t="shared" ca="1" si="18"/>
        <v>0.54545454545454553</v>
      </c>
      <c r="U44" s="20">
        <f t="shared" ca="1" si="0"/>
        <v>0</v>
      </c>
    </row>
    <row r="45" spans="1:21" x14ac:dyDescent="0.3">
      <c r="D45" s="14">
        <f t="shared" si="10"/>
        <v>11.709090909090914</v>
      </c>
      <c r="E45" s="3">
        <f>COUNTIF(Vertices[Degree], "&gt;= " &amp; D45) - COUNTIF(Vertices[Degree], "&gt;=" &amp; D46)</f>
        <v>3</v>
      </c>
      <c r="F45" s="21">
        <f t="shared" si="11"/>
        <v>0</v>
      </c>
      <c r="G45" s="22">
        <f>COUNTIF(Vertices[In-Degree], "&gt;= " &amp; F45) - COUNTIF(Vertices[In-Degree], "&gt;=" &amp; F46)</f>
        <v>0</v>
      </c>
      <c r="H45" s="21">
        <f t="shared" si="12"/>
        <v>0</v>
      </c>
      <c r="I45" s="22">
        <f>COUNTIF(Vertices[Out-Degree], "&gt;= " &amp; H45) - COUNTIF(Vertices[Out-Degree], "&gt;=" &amp; H46)</f>
        <v>0</v>
      </c>
      <c r="J45" s="21">
        <f t="shared" si="13"/>
        <v>3014.8284440909106</v>
      </c>
      <c r="K45" s="22">
        <f>COUNTIF(Vertices[Betweenness Centrality], "&gt;= " &amp; J45) - COUNTIF(Vertices[Betweenness Centrality], "&gt;=" &amp; J46)</f>
        <v>1</v>
      </c>
      <c r="L45" s="21">
        <f t="shared" si="14"/>
        <v>1.2561090909090902E-3</v>
      </c>
      <c r="M45" s="22">
        <f>COUNTIF(Vertices[Closeness Centrality], "&gt;= " &amp; L45) - COUNTIF(Vertices[Closeness Centrality], "&gt;=" &amp; L46)</f>
        <v>2</v>
      </c>
      <c r="N45" s="21">
        <f t="shared" si="15"/>
        <v>1.5514181818181826E-2</v>
      </c>
      <c r="O45" s="22">
        <f>COUNTIF(Vertices[Eigenvector Centrality], "&gt;= " &amp; N45) - COUNTIF(Vertices[Eigenvector Centrality], "&gt;=" &amp; N46)</f>
        <v>1</v>
      </c>
      <c r="P45" s="21">
        <f t="shared" si="16"/>
        <v>3.8990842000000012</v>
      </c>
      <c r="Q45" s="22">
        <f>COUNTIF(Vertices[PageRank], "&gt;= " &amp; P45) - COUNTIF(Vertices[PageRank], "&gt;=" &amp; P46)</f>
        <v>1</v>
      </c>
      <c r="R45" s="21">
        <f t="shared" si="17"/>
        <v>0.56363636363636371</v>
      </c>
      <c r="S45" s="26">
        <f>COUNTIF(Vertices[Clustering Coefficient], "&gt;= " &amp; R45) - COUNTIF(Vertices[Clustering Coefficient], "&gt;=" &amp; R46)</f>
        <v>0</v>
      </c>
      <c r="T45" s="21">
        <f t="shared" ca="1" si="18"/>
        <v>0.56363636363636371</v>
      </c>
      <c r="U45" s="22">
        <f t="shared" ca="1" si="0"/>
        <v>0</v>
      </c>
    </row>
    <row r="46" spans="1:21" x14ac:dyDescent="0.3">
      <c r="D46" s="14">
        <f t="shared" si="10"/>
        <v>12.05454545454546</v>
      </c>
      <c r="E46" s="3">
        <f>COUNTIF(Vertices[Degree], "&gt;= " &amp; D46) - COUNTIF(Vertices[Degree], "&gt;=" &amp; D47)</f>
        <v>0</v>
      </c>
      <c r="F46" s="19">
        <f t="shared" si="11"/>
        <v>0</v>
      </c>
      <c r="G46" s="20">
        <f>COUNTIF(Vertices[In-Degree], "&gt;= " &amp; F46) - COUNTIF(Vertices[In-Degree], "&gt;=" &amp; F47)</f>
        <v>0</v>
      </c>
      <c r="H46" s="19">
        <f t="shared" si="12"/>
        <v>0</v>
      </c>
      <c r="I46" s="20">
        <f>COUNTIF(Vertices[Out-Degree], "&gt;= " &amp; H46) - COUNTIF(Vertices[Out-Degree], "&gt;=" &amp; H47)</f>
        <v>0</v>
      </c>
      <c r="J46" s="19">
        <f t="shared" si="13"/>
        <v>3112.0809745454562</v>
      </c>
      <c r="K46" s="20">
        <f>COUNTIF(Vertices[Betweenness Centrality], "&gt;= " &amp; J46) - COUNTIF(Vertices[Betweenness Centrality], "&gt;=" &amp; J47)</f>
        <v>1</v>
      </c>
      <c r="L46" s="19">
        <f t="shared" si="14"/>
        <v>1.2708545454545447E-3</v>
      </c>
      <c r="M46" s="20">
        <f>COUNTIF(Vertices[Closeness Centrality], "&gt;= " &amp; L46) - COUNTIF(Vertices[Closeness Centrality], "&gt;=" &amp; L47)</f>
        <v>5</v>
      </c>
      <c r="N46" s="19">
        <f t="shared" si="15"/>
        <v>1.6011090909090916E-2</v>
      </c>
      <c r="O46" s="20">
        <f>COUNTIF(Vertices[Eigenvector Centrality], "&gt;= " &amp; N46) - COUNTIF(Vertices[Eigenvector Centrality], "&gt;=" &amp; N47)</f>
        <v>0</v>
      </c>
      <c r="P46" s="19">
        <f t="shared" si="16"/>
        <v>4.0128624000000013</v>
      </c>
      <c r="Q46" s="20">
        <f>COUNTIF(Vertices[PageRank], "&gt;= " &amp; P46) - COUNTIF(Vertices[PageRank], "&gt;=" &amp; P47)</f>
        <v>1</v>
      </c>
      <c r="R46" s="19">
        <f t="shared" si="17"/>
        <v>0.5818181818181819</v>
      </c>
      <c r="S46" s="25">
        <f>COUNTIF(Vertices[Clustering Coefficient], "&gt;= " &amp; R46) - COUNTIF(Vertices[Clustering Coefficient], "&gt;=" &amp; R47)</f>
        <v>0</v>
      </c>
      <c r="T46" s="19">
        <f t="shared" ca="1" si="18"/>
        <v>0.5818181818181819</v>
      </c>
      <c r="U46" s="20">
        <f t="shared" ca="1" si="0"/>
        <v>0</v>
      </c>
    </row>
    <row r="47" spans="1:21" x14ac:dyDescent="0.3">
      <c r="D47" s="14">
        <f t="shared" si="10"/>
        <v>12.400000000000006</v>
      </c>
      <c r="E47" s="3">
        <f>COUNTIF(Vertices[Degree], "&gt;= " &amp; D47) - COUNTIF(Vertices[Degree], "&gt;=" &amp; D48)</f>
        <v>0</v>
      </c>
      <c r="F47" s="21">
        <f t="shared" si="11"/>
        <v>0</v>
      </c>
      <c r="G47" s="22">
        <f>COUNTIF(Vertices[In-Degree], "&gt;= " &amp; F47) - COUNTIF(Vertices[In-Degree], "&gt;=" &amp; F48)</f>
        <v>0</v>
      </c>
      <c r="H47" s="21">
        <f t="shared" si="12"/>
        <v>0</v>
      </c>
      <c r="I47" s="22">
        <f>COUNTIF(Vertices[Out-Degree], "&gt;= " &amp; H47) - COUNTIF(Vertices[Out-Degree], "&gt;=" &amp; H48)</f>
        <v>0</v>
      </c>
      <c r="J47" s="21">
        <f t="shared" si="13"/>
        <v>3209.3335050000019</v>
      </c>
      <c r="K47" s="22">
        <f>COUNTIF(Vertices[Betweenness Centrality], "&gt;= " &amp; J47) - COUNTIF(Vertices[Betweenness Centrality], "&gt;=" &amp; J48)</f>
        <v>0</v>
      </c>
      <c r="L47" s="21">
        <f t="shared" si="14"/>
        <v>1.2855999999999992E-3</v>
      </c>
      <c r="M47" s="22">
        <f>COUNTIF(Vertices[Closeness Centrality], "&gt;= " &amp; L47) - COUNTIF(Vertices[Closeness Centrality], "&gt;=" &amp; L48)</f>
        <v>4</v>
      </c>
      <c r="N47" s="21">
        <f t="shared" si="15"/>
        <v>1.6508000000000005E-2</v>
      </c>
      <c r="O47" s="22">
        <f>COUNTIF(Vertices[Eigenvector Centrality], "&gt;= " &amp; N47) - COUNTIF(Vertices[Eigenvector Centrality], "&gt;=" &amp; N48)</f>
        <v>0</v>
      </c>
      <c r="P47" s="21">
        <f t="shared" si="16"/>
        <v>4.1266406000000009</v>
      </c>
      <c r="Q47" s="22">
        <f>COUNTIF(Vertices[PageRank], "&gt;= " &amp; P47) - COUNTIF(Vertices[PageRank], "&gt;=" &amp; P48)</f>
        <v>1</v>
      </c>
      <c r="R47" s="21">
        <f t="shared" si="17"/>
        <v>0.60000000000000009</v>
      </c>
      <c r="S47" s="26">
        <f>COUNTIF(Vertices[Clustering Coefficient], "&gt;= " &amp; R47) - COUNTIF(Vertices[Clustering Coefficient], "&gt;=" &amp; R48)</f>
        <v>0</v>
      </c>
      <c r="T47" s="21">
        <f t="shared" ca="1" si="18"/>
        <v>0.60000000000000009</v>
      </c>
      <c r="U47" s="22">
        <f t="shared" ca="1" si="0"/>
        <v>0</v>
      </c>
    </row>
    <row r="48" spans="1:21" x14ac:dyDescent="0.3">
      <c r="D48" s="14">
        <f t="shared" si="10"/>
        <v>12.745454545454551</v>
      </c>
      <c r="E48" s="3">
        <f>COUNTIF(Vertices[Degree], "&gt;= " &amp; D48) - COUNTIF(Vertices[Degree], "&gt;=" &amp; D49)</f>
        <v>2</v>
      </c>
      <c r="F48" s="19">
        <f t="shared" si="11"/>
        <v>0</v>
      </c>
      <c r="G48" s="20">
        <f>COUNTIF(Vertices[In-Degree], "&gt;= " &amp; F48) - COUNTIF(Vertices[In-Degree], "&gt;=" &amp; F49)</f>
        <v>0</v>
      </c>
      <c r="H48" s="19">
        <f t="shared" si="12"/>
        <v>0</v>
      </c>
      <c r="I48" s="20">
        <f>COUNTIF(Vertices[Out-Degree], "&gt;= " &amp; H48) - COUNTIF(Vertices[Out-Degree], "&gt;=" &amp; H49)</f>
        <v>0</v>
      </c>
      <c r="J48" s="19">
        <f t="shared" si="13"/>
        <v>3306.5860354545475</v>
      </c>
      <c r="K48" s="20">
        <f>COUNTIF(Vertices[Betweenness Centrality], "&gt;= " &amp; J48) - COUNTIF(Vertices[Betweenness Centrality], "&gt;=" &amp; J49)</f>
        <v>0</v>
      </c>
      <c r="L48" s="19">
        <f t="shared" si="14"/>
        <v>1.3003454545454536E-3</v>
      </c>
      <c r="M48" s="20">
        <f>COUNTIF(Vertices[Closeness Centrality], "&gt;= " &amp; L48) - COUNTIF(Vertices[Closeness Centrality], "&gt;=" &amp; L49)</f>
        <v>3</v>
      </c>
      <c r="N48" s="19">
        <f t="shared" si="15"/>
        <v>1.7004909090909095E-2</v>
      </c>
      <c r="O48" s="20">
        <f>COUNTIF(Vertices[Eigenvector Centrality], "&gt;= " &amp; N48) - COUNTIF(Vertices[Eigenvector Centrality], "&gt;=" &amp; N49)</f>
        <v>0</v>
      </c>
      <c r="P48" s="19">
        <f t="shared" si="16"/>
        <v>4.2404188000000005</v>
      </c>
      <c r="Q48" s="20">
        <f>COUNTIF(Vertices[PageRank], "&gt;= " &amp; P48) - COUNTIF(Vertices[PageRank], "&gt;=" &amp; P49)</f>
        <v>0</v>
      </c>
      <c r="R48" s="19">
        <f t="shared" si="17"/>
        <v>0.61818181818181828</v>
      </c>
      <c r="S48" s="25">
        <f>COUNTIF(Vertices[Clustering Coefficient], "&gt;= " &amp; R48) - COUNTIF(Vertices[Clustering Coefficient], "&gt;=" &amp; R49)</f>
        <v>0</v>
      </c>
      <c r="T48" s="19">
        <f t="shared" ca="1" si="18"/>
        <v>0.61818181818181828</v>
      </c>
      <c r="U48" s="20">
        <f t="shared" ca="1" si="0"/>
        <v>0</v>
      </c>
    </row>
    <row r="49" spans="1:21" x14ac:dyDescent="0.3">
      <c r="D49" s="14">
        <f t="shared" si="10"/>
        <v>13.090909090909097</v>
      </c>
      <c r="E49" s="3">
        <f>COUNTIF(Vertices[Degree], "&gt;= " &amp; D49) - COUNTIF(Vertices[Degree], "&gt;=" &amp; D50)</f>
        <v>0</v>
      </c>
      <c r="F49" s="21">
        <f t="shared" si="11"/>
        <v>0</v>
      </c>
      <c r="G49" s="22">
        <f>COUNTIF(Vertices[In-Degree], "&gt;= " &amp; F49) - COUNTIF(Vertices[In-Degree], "&gt;=" &amp; F50)</f>
        <v>0</v>
      </c>
      <c r="H49" s="21">
        <f t="shared" si="12"/>
        <v>0</v>
      </c>
      <c r="I49" s="22">
        <f>COUNTIF(Vertices[Out-Degree], "&gt;= " &amp; H49) - COUNTIF(Vertices[Out-Degree], "&gt;=" &amp; H50)</f>
        <v>0</v>
      </c>
      <c r="J49" s="21">
        <f t="shared" si="13"/>
        <v>3403.8385659090932</v>
      </c>
      <c r="K49" s="22">
        <f>COUNTIF(Vertices[Betweenness Centrality], "&gt;= " &amp; J49) - COUNTIF(Vertices[Betweenness Centrality], "&gt;=" &amp; J50)</f>
        <v>0</v>
      </c>
      <c r="L49" s="21">
        <f t="shared" si="14"/>
        <v>1.3150909090909081E-3</v>
      </c>
      <c r="M49" s="22">
        <f>COUNTIF(Vertices[Closeness Centrality], "&gt;= " &amp; L49) - COUNTIF(Vertices[Closeness Centrality], "&gt;=" &amp; L50)</f>
        <v>3</v>
      </c>
      <c r="N49" s="21">
        <f t="shared" si="15"/>
        <v>1.7501818181818184E-2</v>
      </c>
      <c r="O49" s="22">
        <f>COUNTIF(Vertices[Eigenvector Centrality], "&gt;= " &amp; N49) - COUNTIF(Vertices[Eigenvector Centrality], "&gt;=" &amp; N50)</f>
        <v>0</v>
      </c>
      <c r="P49" s="21">
        <f t="shared" si="16"/>
        <v>4.3541970000000001</v>
      </c>
      <c r="Q49" s="22">
        <f>COUNTIF(Vertices[PageRank], "&gt;= " &amp; P49) - COUNTIF(Vertices[PageRank], "&gt;=" &amp; P50)</f>
        <v>0</v>
      </c>
      <c r="R49" s="21">
        <f t="shared" si="17"/>
        <v>0.63636363636363646</v>
      </c>
      <c r="S49" s="26">
        <f>COUNTIF(Vertices[Clustering Coefficient], "&gt;= " &amp; R49) - COUNTIF(Vertices[Clustering Coefficient], "&gt;=" &amp; R50)</f>
        <v>0</v>
      </c>
      <c r="T49" s="21">
        <f t="shared" ca="1" si="18"/>
        <v>0.63636363636363646</v>
      </c>
      <c r="U49" s="22">
        <f t="shared" ca="1" si="0"/>
        <v>0</v>
      </c>
    </row>
    <row r="50" spans="1:21" x14ac:dyDescent="0.3">
      <c r="D50" s="14">
        <f t="shared" si="10"/>
        <v>13.436363636363643</v>
      </c>
      <c r="E50" s="3">
        <f>COUNTIF(Vertices[Degree], "&gt;= " &amp; D50) - COUNTIF(Vertices[Degree], "&gt;=" &amp; D51)</f>
        <v>0</v>
      </c>
      <c r="F50" s="19">
        <f t="shared" si="11"/>
        <v>0</v>
      </c>
      <c r="G50" s="20">
        <f>COUNTIF(Vertices[In-Degree], "&gt;= " &amp; F50) - COUNTIF(Vertices[In-Degree], "&gt;=" &amp; F51)</f>
        <v>0</v>
      </c>
      <c r="H50" s="19">
        <f t="shared" si="12"/>
        <v>0</v>
      </c>
      <c r="I50" s="20">
        <f>COUNTIF(Vertices[Out-Degree], "&gt;= " &amp; H50) - COUNTIF(Vertices[Out-Degree], "&gt;=" &amp; H51)</f>
        <v>0</v>
      </c>
      <c r="J50" s="19">
        <f t="shared" si="13"/>
        <v>3501.0910963636388</v>
      </c>
      <c r="K50" s="20">
        <f>COUNTIF(Vertices[Betweenness Centrality], "&gt;= " &amp; J50) - COUNTIF(Vertices[Betweenness Centrality], "&gt;=" &amp; J51)</f>
        <v>0</v>
      </c>
      <c r="L50" s="19">
        <f t="shared" si="14"/>
        <v>1.3298363636363626E-3</v>
      </c>
      <c r="M50" s="20">
        <f>COUNTIF(Vertices[Closeness Centrality], "&gt;= " &amp; L50) - COUNTIF(Vertices[Closeness Centrality], "&gt;=" &amp; L51)</f>
        <v>4</v>
      </c>
      <c r="N50" s="19">
        <f t="shared" si="15"/>
        <v>1.7998727272727274E-2</v>
      </c>
      <c r="O50" s="20">
        <f>COUNTIF(Vertices[Eigenvector Centrality], "&gt;= " &amp; N50) - COUNTIF(Vertices[Eigenvector Centrality], "&gt;=" &amp; N51)</f>
        <v>1</v>
      </c>
      <c r="P50" s="19">
        <f t="shared" si="16"/>
        <v>4.4679751999999997</v>
      </c>
      <c r="Q50" s="20">
        <f>COUNTIF(Vertices[PageRank], "&gt;= " &amp; P50) - COUNTIF(Vertices[PageRank], "&gt;=" &amp; P51)</f>
        <v>1</v>
      </c>
      <c r="R50" s="19">
        <f t="shared" si="17"/>
        <v>0.65454545454545465</v>
      </c>
      <c r="S50" s="25">
        <f>COUNTIF(Vertices[Clustering Coefficient], "&gt;= " &amp; R50) - COUNTIF(Vertices[Clustering Coefficient], "&gt;=" &amp; R51)</f>
        <v>0</v>
      </c>
      <c r="T50" s="19">
        <f t="shared" ca="1" si="18"/>
        <v>0.65454545454545465</v>
      </c>
      <c r="U50" s="20">
        <f t="shared" ca="1" si="0"/>
        <v>0</v>
      </c>
    </row>
    <row r="51" spans="1:21" x14ac:dyDescent="0.3">
      <c r="D51" s="14">
        <f t="shared" si="10"/>
        <v>13.781818181818188</v>
      </c>
      <c r="E51" s="3">
        <f>COUNTIF(Vertices[Degree], "&gt;= " &amp; D51) - COUNTIF(Vertices[Degree], "&gt;=" &amp; D52)</f>
        <v>2</v>
      </c>
      <c r="F51" s="21">
        <f t="shared" si="11"/>
        <v>0</v>
      </c>
      <c r="G51" s="22">
        <f>COUNTIF(Vertices[In-Degree], "&gt;= " &amp; F51) - COUNTIF(Vertices[In-Degree], "&gt;=" &amp; F52)</f>
        <v>0</v>
      </c>
      <c r="H51" s="21">
        <f t="shared" si="12"/>
        <v>0</v>
      </c>
      <c r="I51" s="22">
        <f>COUNTIF(Vertices[Out-Degree], "&gt;= " &amp; H51) - COUNTIF(Vertices[Out-Degree], "&gt;=" &amp; H52)</f>
        <v>0</v>
      </c>
      <c r="J51" s="21">
        <f t="shared" si="13"/>
        <v>3598.3436268181845</v>
      </c>
      <c r="K51" s="22">
        <f>COUNTIF(Vertices[Betweenness Centrality], "&gt;= " &amp; J51) - COUNTIF(Vertices[Betweenness Centrality], "&gt;=" &amp; J52)</f>
        <v>0</v>
      </c>
      <c r="L51" s="21">
        <f t="shared" si="14"/>
        <v>1.3445818181818171E-3</v>
      </c>
      <c r="M51" s="22">
        <f>COUNTIF(Vertices[Closeness Centrality], "&gt;= " &amp; L51) - COUNTIF(Vertices[Closeness Centrality], "&gt;=" &amp; L52)</f>
        <v>2</v>
      </c>
      <c r="N51" s="21">
        <f t="shared" si="15"/>
        <v>1.8495636363636363E-2</v>
      </c>
      <c r="O51" s="22">
        <f>COUNTIF(Vertices[Eigenvector Centrality], "&gt;= " &amp; N51) - COUNTIF(Vertices[Eigenvector Centrality], "&gt;=" &amp; N52)</f>
        <v>0</v>
      </c>
      <c r="P51" s="21">
        <f t="shared" si="16"/>
        <v>4.5817533999999993</v>
      </c>
      <c r="Q51" s="22">
        <f>COUNTIF(Vertices[PageRank], "&gt;= " &amp; P51) - COUNTIF(Vertices[PageRank], "&gt;=" &amp; P52)</f>
        <v>0</v>
      </c>
      <c r="R51" s="21">
        <f t="shared" si="17"/>
        <v>0.67272727272727284</v>
      </c>
      <c r="S51" s="26">
        <f>COUNTIF(Vertices[Clustering Coefficient], "&gt;= " &amp; R51) - COUNTIF(Vertices[Clustering Coefficient], "&gt;=" &amp; R52)</f>
        <v>0</v>
      </c>
      <c r="T51" s="21">
        <f t="shared" ca="1" si="18"/>
        <v>0.67272727272727284</v>
      </c>
      <c r="U51" s="22">
        <f t="shared" ca="1" si="0"/>
        <v>0</v>
      </c>
    </row>
    <row r="52" spans="1:21" x14ac:dyDescent="0.3">
      <c r="D52" s="14">
        <f t="shared" si="10"/>
        <v>14.127272727272734</v>
      </c>
      <c r="E52" s="3">
        <f>COUNTIF(Vertices[Degree], "&gt;= " &amp; D52) - COUNTIF(Vertices[Degree], "&gt;=" &amp; D53)</f>
        <v>0</v>
      </c>
      <c r="F52" s="19">
        <f t="shared" si="11"/>
        <v>0</v>
      </c>
      <c r="G52" s="20">
        <f>COUNTIF(Vertices[In-Degree], "&gt;= " &amp; F52) - COUNTIF(Vertices[In-Degree], "&gt;=" &amp; F53)</f>
        <v>0</v>
      </c>
      <c r="H52" s="19">
        <f t="shared" si="12"/>
        <v>0</v>
      </c>
      <c r="I52" s="20">
        <f>COUNTIF(Vertices[Out-Degree], "&gt;= " &amp; H52) - COUNTIF(Vertices[Out-Degree], "&gt;=" &amp; H53)</f>
        <v>0</v>
      </c>
      <c r="J52" s="19">
        <f t="shared" si="13"/>
        <v>3695.5961572727301</v>
      </c>
      <c r="K52" s="20">
        <f>COUNTIF(Vertices[Betweenness Centrality], "&gt;= " &amp; J52) - COUNTIF(Vertices[Betweenness Centrality], "&gt;=" &amp; J53)</f>
        <v>0</v>
      </c>
      <c r="L52" s="19">
        <f t="shared" si="14"/>
        <v>1.3593272727272716E-3</v>
      </c>
      <c r="M52" s="20">
        <f>COUNTIF(Vertices[Closeness Centrality], "&gt;= " &amp; L52) - COUNTIF(Vertices[Closeness Centrality], "&gt;=" &amp; L53)</f>
        <v>3</v>
      </c>
      <c r="N52" s="19">
        <f t="shared" si="15"/>
        <v>1.8992545454545453E-2</v>
      </c>
      <c r="O52" s="20">
        <f>COUNTIF(Vertices[Eigenvector Centrality], "&gt;= " &amp; N52) - COUNTIF(Vertices[Eigenvector Centrality], "&gt;=" &amp; N53)</f>
        <v>0</v>
      </c>
      <c r="P52" s="19">
        <f t="shared" si="16"/>
        <v>4.6955315999999989</v>
      </c>
      <c r="Q52" s="20">
        <f>COUNTIF(Vertices[PageRank], "&gt;= " &amp; P52) - COUNTIF(Vertices[PageRank], "&gt;=" &amp; P53)</f>
        <v>0</v>
      </c>
      <c r="R52" s="19">
        <f t="shared" si="17"/>
        <v>0.69090909090909103</v>
      </c>
      <c r="S52" s="25">
        <f>COUNTIF(Vertices[Clustering Coefficient], "&gt;= " &amp; R52) - COUNTIF(Vertices[Clustering Coefficient], "&gt;=" &amp; R53)</f>
        <v>0</v>
      </c>
      <c r="T52" s="19">
        <f t="shared" ca="1" si="18"/>
        <v>0.69090909090909103</v>
      </c>
      <c r="U52" s="20">
        <f t="shared" ca="1" si="0"/>
        <v>0</v>
      </c>
    </row>
    <row r="53" spans="1:21" x14ac:dyDescent="0.3">
      <c r="D53" s="14">
        <f t="shared" si="10"/>
        <v>14.47272727272728</v>
      </c>
      <c r="E53" s="3">
        <f>COUNTIF(Vertices[Degree], "&gt;= " &amp; D53) - COUNTIF(Vertices[Degree], "&gt;=" &amp; D54)</f>
        <v>0</v>
      </c>
      <c r="F53" s="21">
        <f t="shared" si="11"/>
        <v>0</v>
      </c>
      <c r="G53" s="22">
        <f>COUNTIF(Vertices[In-Degree], "&gt;= " &amp; F53) - COUNTIF(Vertices[In-Degree], "&gt;=" &amp; F54)</f>
        <v>0</v>
      </c>
      <c r="H53" s="21">
        <f t="shared" si="12"/>
        <v>0</v>
      </c>
      <c r="I53" s="22">
        <f>COUNTIF(Vertices[Out-Degree], "&gt;= " &amp; H53) - COUNTIF(Vertices[Out-Degree], "&gt;=" &amp; H54)</f>
        <v>0</v>
      </c>
      <c r="J53" s="21">
        <f t="shared" si="13"/>
        <v>3792.8486877272758</v>
      </c>
      <c r="K53" s="22">
        <f>COUNTIF(Vertices[Betweenness Centrality], "&gt;= " &amp; J53) - COUNTIF(Vertices[Betweenness Centrality], "&gt;=" &amp; J54)</f>
        <v>0</v>
      </c>
      <c r="L53" s="21">
        <f t="shared" si="14"/>
        <v>1.374072727272726E-3</v>
      </c>
      <c r="M53" s="22">
        <f>COUNTIF(Vertices[Closeness Centrality], "&gt;= " &amp; L53) - COUNTIF(Vertices[Closeness Centrality], "&gt;=" &amp; L54)</f>
        <v>2</v>
      </c>
      <c r="N53" s="21">
        <f t="shared" si="15"/>
        <v>1.9489454545454542E-2</v>
      </c>
      <c r="O53" s="22">
        <f>COUNTIF(Vertices[Eigenvector Centrality], "&gt;= " &amp; N53) - COUNTIF(Vertices[Eigenvector Centrality], "&gt;=" &amp; N54)</f>
        <v>1</v>
      </c>
      <c r="P53" s="21">
        <f t="shared" si="16"/>
        <v>4.8093097999999985</v>
      </c>
      <c r="Q53" s="22">
        <f>COUNTIF(Vertices[PageRank], "&gt;= " &amp; P53) - COUNTIF(Vertices[PageRank], "&gt;=" &amp; P54)</f>
        <v>0</v>
      </c>
      <c r="R53" s="21">
        <f t="shared" si="17"/>
        <v>0.70909090909090922</v>
      </c>
      <c r="S53" s="26">
        <f>COUNTIF(Vertices[Clustering Coefficient], "&gt;= " &amp; R53) - COUNTIF(Vertices[Clustering Coefficient], "&gt;=" &amp; R54)</f>
        <v>0</v>
      </c>
      <c r="T53" s="21">
        <f t="shared" ca="1" si="18"/>
        <v>0.70909090909090922</v>
      </c>
      <c r="U53" s="22">
        <f t="shared" ca="1" si="0"/>
        <v>0</v>
      </c>
    </row>
    <row r="54" spans="1:21" x14ac:dyDescent="0.3">
      <c r="D54" s="14">
        <f t="shared" si="10"/>
        <v>14.818181818181825</v>
      </c>
      <c r="E54" s="3">
        <f>COUNTIF(Vertices[Degree], "&gt;= " &amp; D54) - COUNTIF(Vertices[Degree], "&gt;=" &amp; D55)</f>
        <v>2</v>
      </c>
      <c r="F54" s="19">
        <f t="shared" si="11"/>
        <v>0</v>
      </c>
      <c r="G54" s="20">
        <f>COUNTIF(Vertices[In-Degree], "&gt;= " &amp; F54) - COUNTIF(Vertices[In-Degree], "&gt;=" &amp; F55)</f>
        <v>0</v>
      </c>
      <c r="H54" s="19">
        <f t="shared" si="12"/>
        <v>0</v>
      </c>
      <c r="I54" s="20">
        <f>COUNTIF(Vertices[Out-Degree], "&gt;= " &amp; H54) - COUNTIF(Vertices[Out-Degree], "&gt;=" &amp; H55)</f>
        <v>0</v>
      </c>
      <c r="J54" s="19">
        <f t="shared" si="13"/>
        <v>3890.1012181818214</v>
      </c>
      <c r="K54" s="20">
        <f>COUNTIF(Vertices[Betweenness Centrality], "&gt;= " &amp; J54) - COUNTIF(Vertices[Betweenness Centrality], "&gt;=" &amp; J55)</f>
        <v>0</v>
      </c>
      <c r="L54" s="19">
        <f t="shared" si="14"/>
        <v>1.3888181818181805E-3</v>
      </c>
      <c r="M54" s="20">
        <f>COUNTIF(Vertices[Closeness Centrality], "&gt;= " &amp; L54) - COUNTIF(Vertices[Closeness Centrality], "&gt;=" &amp; L55)</f>
        <v>0</v>
      </c>
      <c r="N54" s="19">
        <f t="shared" si="15"/>
        <v>1.9986363636363632E-2</v>
      </c>
      <c r="O54" s="20">
        <f>COUNTIF(Vertices[Eigenvector Centrality], "&gt;= " &amp; N54) - COUNTIF(Vertices[Eigenvector Centrality], "&gt;=" &amp; N55)</f>
        <v>0</v>
      </c>
      <c r="P54" s="19">
        <f t="shared" si="16"/>
        <v>4.9230879999999981</v>
      </c>
      <c r="Q54" s="20">
        <f>COUNTIF(Vertices[PageRank], "&gt;= " &amp; P54) - COUNTIF(Vertices[PageRank], "&gt;=" &amp; P55)</f>
        <v>0</v>
      </c>
      <c r="R54" s="19">
        <f t="shared" si="17"/>
        <v>0.7272727272727274</v>
      </c>
      <c r="S54" s="25">
        <f>COUNTIF(Vertices[Clustering Coefficient], "&gt;= " &amp; R54) - COUNTIF(Vertices[Clustering Coefficient], "&gt;=" &amp; R55)</f>
        <v>0</v>
      </c>
      <c r="T54" s="19">
        <f t="shared" ca="1" si="18"/>
        <v>0.7272727272727274</v>
      </c>
      <c r="U54" s="20">
        <f t="shared" ca="1" si="0"/>
        <v>0</v>
      </c>
    </row>
    <row r="55" spans="1:21" x14ac:dyDescent="0.3">
      <c r="A55" s="15" t="s">
        <v>82</v>
      </c>
      <c r="B55" s="28">
        <f>IF(COUNT(Vertices[Degree])&gt;0, D2, NoMetricMessage)</f>
        <v>1</v>
      </c>
      <c r="D55" s="14">
        <f t="shared" si="10"/>
        <v>15.163636363636371</v>
      </c>
      <c r="E55" s="3">
        <f>COUNTIF(Vertices[Degree], "&gt;= " &amp; D55) - COUNTIF(Vertices[Degree], "&gt;=" &amp; D56)</f>
        <v>0</v>
      </c>
      <c r="F55" s="21">
        <f t="shared" si="11"/>
        <v>0</v>
      </c>
      <c r="G55" s="22">
        <f>COUNTIF(Vertices[In-Degree], "&gt;= " &amp; F55) - COUNTIF(Vertices[In-Degree], "&gt;=" &amp; F56)</f>
        <v>0</v>
      </c>
      <c r="H55" s="21">
        <f t="shared" si="12"/>
        <v>0</v>
      </c>
      <c r="I55" s="22">
        <f>COUNTIF(Vertices[Out-Degree], "&gt;= " &amp; H55) - COUNTIF(Vertices[Out-Degree], "&gt;=" &amp; H56)</f>
        <v>0</v>
      </c>
      <c r="J55" s="21">
        <f t="shared" si="13"/>
        <v>3987.3537486363671</v>
      </c>
      <c r="K55" s="22">
        <f>COUNTIF(Vertices[Betweenness Centrality], "&gt;= " &amp; J55) - COUNTIF(Vertices[Betweenness Centrality], "&gt;=" &amp; J56)</f>
        <v>0</v>
      </c>
      <c r="L55" s="21">
        <f t="shared" si="14"/>
        <v>1.403563636363635E-3</v>
      </c>
      <c r="M55" s="22">
        <f>COUNTIF(Vertices[Closeness Centrality], "&gt;= " &amp; L55) - COUNTIF(Vertices[Closeness Centrality], "&gt;=" &amp; L56)</f>
        <v>2</v>
      </c>
      <c r="N55" s="21">
        <f t="shared" si="15"/>
        <v>2.0483272727272721E-2</v>
      </c>
      <c r="O55" s="22">
        <f>COUNTIF(Vertices[Eigenvector Centrality], "&gt;= " &amp; N55) - COUNTIF(Vertices[Eigenvector Centrality], "&gt;=" &amp; N56)</f>
        <v>1</v>
      </c>
      <c r="P55" s="21">
        <f t="shared" si="16"/>
        <v>5.0368661999999977</v>
      </c>
      <c r="Q55" s="22">
        <f>COUNTIF(Vertices[PageRank], "&gt;= " &amp; P55) - COUNTIF(Vertices[PageRank], "&gt;=" &amp; P56)</f>
        <v>0</v>
      </c>
      <c r="R55" s="21">
        <f t="shared" si="17"/>
        <v>0.74545454545454559</v>
      </c>
      <c r="S55" s="26">
        <f>COUNTIF(Vertices[Clustering Coefficient], "&gt;= " &amp; R55) - COUNTIF(Vertices[Clustering Coefficient], "&gt;=" &amp; R56)</f>
        <v>0</v>
      </c>
      <c r="T55" s="21">
        <f t="shared" ca="1" si="18"/>
        <v>0.74545454545454559</v>
      </c>
      <c r="U55" s="22">
        <f t="shared" ca="1" si="0"/>
        <v>0</v>
      </c>
    </row>
    <row r="56" spans="1:21" x14ac:dyDescent="0.3">
      <c r="A56" s="15" t="s">
        <v>83</v>
      </c>
      <c r="B56" s="28">
        <f>IF(COUNT(Vertices[Degree])&gt;0, D57, NoMetricMessage)</f>
        <v>20</v>
      </c>
      <c r="D56" s="14">
        <f t="shared" si="10"/>
        <v>15.509090909090917</v>
      </c>
      <c r="E56" s="3">
        <f>COUNTIF(Vertices[Degree], "&gt;= " &amp; D56) - COUNTIF(Vertices[Degree], "&gt;=" &amp; D57)</f>
        <v>0</v>
      </c>
      <c r="F56" s="19">
        <f t="shared" si="11"/>
        <v>0</v>
      </c>
      <c r="G56" s="20">
        <f>COUNTIF(Vertices[In-Degree], "&gt;= " &amp; F56) - COUNTIF(Vertices[In-Degree], "&gt;=" &amp; F57)</f>
        <v>0</v>
      </c>
      <c r="H56" s="19">
        <f t="shared" si="12"/>
        <v>0</v>
      </c>
      <c r="I56" s="20">
        <f>COUNTIF(Vertices[Out-Degree], "&gt;= " &amp; H56) - COUNTIF(Vertices[Out-Degree], "&gt;=" &amp; H57)</f>
        <v>0</v>
      </c>
      <c r="J56" s="19">
        <f t="shared" si="13"/>
        <v>4084.6062790909127</v>
      </c>
      <c r="K56" s="20">
        <f>COUNTIF(Vertices[Betweenness Centrality], "&gt;= " &amp; J56) - COUNTIF(Vertices[Betweenness Centrality], "&gt;=" &amp; J57)</f>
        <v>0</v>
      </c>
      <c r="L56" s="19">
        <f t="shared" si="14"/>
        <v>1.4183090909090895E-3</v>
      </c>
      <c r="M56" s="20">
        <f>COUNTIF(Vertices[Closeness Centrality], "&gt;= " &amp; L56) - COUNTIF(Vertices[Closeness Centrality], "&gt;=" &amp; L57)</f>
        <v>15</v>
      </c>
      <c r="N56" s="19">
        <f t="shared" si="15"/>
        <v>2.0980181818181811E-2</v>
      </c>
      <c r="O56" s="20">
        <f>COUNTIF(Vertices[Eigenvector Centrality], "&gt;= " &amp; N56) - COUNTIF(Vertices[Eigenvector Centrality], "&gt;=" &amp; N57)</f>
        <v>6</v>
      </c>
      <c r="P56" s="19">
        <f t="shared" si="16"/>
        <v>5.1506443999999973</v>
      </c>
      <c r="Q56" s="20">
        <f>COUNTIF(Vertices[PageRank], "&gt;= " &amp; P56) - COUNTIF(Vertices[PageRank], "&gt;=" &amp; P57)</f>
        <v>0</v>
      </c>
      <c r="R56" s="19">
        <f t="shared" si="17"/>
        <v>0.76363636363636378</v>
      </c>
      <c r="S56" s="25">
        <f>COUNTIF(Vertices[Clustering Coefficient], "&gt;= " &amp; R56) - COUNTIF(Vertices[Clustering Coefficient], "&gt;=" &amp; R57)</f>
        <v>0</v>
      </c>
      <c r="T56" s="19">
        <f t="shared" ca="1" si="18"/>
        <v>0.76363636363636378</v>
      </c>
      <c r="U56" s="20">
        <f t="shared" ca="1" si="0"/>
        <v>0</v>
      </c>
    </row>
    <row r="57" spans="1:21" x14ac:dyDescent="0.3">
      <c r="A57" s="15" t="s">
        <v>84</v>
      </c>
      <c r="B57" s="29">
        <f>IFERROR(AVERAGE(Vertices[Degree]),NoMetricMessage)</f>
        <v>3.07981220657277</v>
      </c>
      <c r="D57" s="14">
        <f>MAX(Vertices[Degree])</f>
        <v>20</v>
      </c>
      <c r="E57" s="3">
        <f>COUNTIF(Vertices[Degree], "&gt;= " &amp; D57) - COUNTIF(Vertices[Degree], "&gt;=" &amp; D58)</f>
        <v>1</v>
      </c>
      <c r="F57" s="23">
        <f>MAX(Vertices[In-Degree])</f>
        <v>0</v>
      </c>
      <c r="G57" s="24">
        <f>COUNTIF(Vertices[In-Degree], "&gt;= " &amp; F57) - COUNTIF(Vertices[In-Degree], "&gt;=" &amp; F58)</f>
        <v>0</v>
      </c>
      <c r="H57" s="23">
        <f>MAX(Vertices[Out-Degree])</f>
        <v>0</v>
      </c>
      <c r="I57" s="24">
        <f>COUNTIF(Vertices[Out-Degree], "&gt;= " &amp; H57) - COUNTIF(Vertices[Out-Degree], "&gt;=" &amp; H58)</f>
        <v>0</v>
      </c>
      <c r="J57" s="23">
        <f>MAX(Vertices[Betweenness Centrality])</f>
        <v>5348.8891750000003</v>
      </c>
      <c r="K57" s="24">
        <f>COUNTIF(Vertices[Betweenness Centrality], "&gt;= " &amp; J57) - COUNTIF(Vertices[Betweenness Centrality], "&gt;=" &amp; J58)</f>
        <v>1</v>
      </c>
      <c r="L57" s="23">
        <f>MAX(Vertices[Closeness Centrality])</f>
        <v>1.6100000000000001E-3</v>
      </c>
      <c r="M57" s="24">
        <f>COUNTIF(Vertices[Closeness Centrality], "&gt;= " &amp; L57) - COUNTIF(Vertices[Closeness Centrality], "&gt;=" &amp; L58)</f>
        <v>1</v>
      </c>
      <c r="N57" s="23">
        <f>MAX(Vertices[Eigenvector Centrality])</f>
        <v>2.7439999999999999E-2</v>
      </c>
      <c r="O57" s="24">
        <f>COUNTIF(Vertices[Eigenvector Centrality], "&gt;= " &amp; N57) - COUNTIF(Vertices[Eigenvector Centrality], "&gt;=" &amp; N58)</f>
        <v>1</v>
      </c>
      <c r="P57" s="23">
        <f>MAX(Vertices[PageRank])</f>
        <v>6.6297610000000002</v>
      </c>
      <c r="Q57" s="24">
        <f>COUNTIF(Vertices[PageRank], "&gt;= " &amp; P57) - COUNTIF(Vertices[PageRank], "&gt;=" &amp; P58)</f>
        <v>1</v>
      </c>
      <c r="R57" s="23">
        <f>MAX(Vertices[Clustering Coefficient])</f>
        <v>1</v>
      </c>
      <c r="S57" s="27">
        <f>COUNTIF(Vertices[Clustering Coefficient], "&gt;= " &amp; R57) - COUNTIF(Vertices[Clustering Coefficient], "&gt;=" &amp; R58)</f>
        <v>2</v>
      </c>
      <c r="T57" s="23">
        <f ca="1">MAX(INDIRECT(DynamicFilterSourceColumnRange))</f>
        <v>1</v>
      </c>
      <c r="U57" s="24">
        <f t="shared" ca="1" si="0"/>
        <v>2</v>
      </c>
    </row>
    <row r="58" spans="1:21" x14ac:dyDescent="0.3">
      <c r="A58" s="15" t="s">
        <v>85</v>
      </c>
      <c r="B58" s="29">
        <f>IFERROR(MEDIAN(Vertices[Degree]),NoMetricMessage)</f>
        <v>2</v>
      </c>
    </row>
    <row r="69" spans="1:2" x14ac:dyDescent="0.3">
      <c r="A69" s="15" t="s">
        <v>89</v>
      </c>
      <c r="B69" s="28" t="str">
        <f>IF(COUNT(Vertices[In-Degree])&gt;0, F2, NoMetricMessage)</f>
        <v>Not Available</v>
      </c>
    </row>
    <row r="70" spans="1:2" x14ac:dyDescent="0.3">
      <c r="A70" s="15" t="s">
        <v>90</v>
      </c>
      <c r="B70" s="28" t="str">
        <f>IF(COUNT(Vertices[In-Degree])&gt;0, F57, NoMetricMessage)</f>
        <v>Not Available</v>
      </c>
    </row>
    <row r="71" spans="1:2" x14ac:dyDescent="0.3">
      <c r="A71" s="15" t="s">
        <v>91</v>
      </c>
      <c r="B71" s="29" t="str">
        <f>IFERROR(AVERAGE(Vertices[In-Degree]),NoMetricMessage)</f>
        <v>Not Available</v>
      </c>
    </row>
    <row r="72" spans="1:2" x14ac:dyDescent="0.3">
      <c r="A72" s="15" t="s">
        <v>92</v>
      </c>
      <c r="B72" s="29" t="str">
        <f>IFERROR(MEDIAN(Vertices[In-Degree]),NoMetricMessage)</f>
        <v>Not Available</v>
      </c>
    </row>
    <row r="83" spans="1:2" x14ac:dyDescent="0.3">
      <c r="A83" s="15" t="s">
        <v>95</v>
      </c>
      <c r="B83" s="28" t="str">
        <f>IF(COUNT(Vertices[Out-Degree])&gt;0, H2, NoMetricMessage)</f>
        <v>Not Available</v>
      </c>
    </row>
    <row r="84" spans="1:2" x14ac:dyDescent="0.3">
      <c r="A84" s="15" t="s">
        <v>96</v>
      </c>
      <c r="B84" s="28" t="str">
        <f>IF(COUNT(Vertices[Out-Degree])&gt;0, H57, NoMetricMessage)</f>
        <v>Not Available</v>
      </c>
    </row>
    <row r="85" spans="1:2" x14ac:dyDescent="0.3">
      <c r="A85" s="15" t="s">
        <v>97</v>
      </c>
      <c r="B85" s="29" t="str">
        <f>IFERROR(AVERAGE(Vertices[Out-Degree]),NoMetricMessage)</f>
        <v>Not Available</v>
      </c>
    </row>
    <row r="86" spans="1:2" x14ac:dyDescent="0.3">
      <c r="A86" s="15" t="s">
        <v>98</v>
      </c>
      <c r="B86" s="29" t="str">
        <f>IFERROR(MEDIAN(Vertices[Out-Degree]),NoMetricMessage)</f>
        <v>Not Available</v>
      </c>
    </row>
    <row r="97" spans="1:2" x14ac:dyDescent="0.3">
      <c r="A97" s="15" t="s">
        <v>101</v>
      </c>
      <c r="B97" s="29">
        <f>IF(COUNT(Vertices[Betweenness Centrality])&gt;0, J2, NoMetricMessage)</f>
        <v>0</v>
      </c>
    </row>
    <row r="98" spans="1:2" x14ac:dyDescent="0.3">
      <c r="A98" s="15" t="s">
        <v>102</v>
      </c>
      <c r="B98" s="29">
        <f>IF(COUNT(Vertices[Betweenness Centrality])&gt;0, J57, NoMetricMessage)</f>
        <v>5348.8891750000003</v>
      </c>
    </row>
    <row r="99" spans="1:2" x14ac:dyDescent="0.3">
      <c r="A99" s="15" t="s">
        <v>103</v>
      </c>
      <c r="B99" s="29">
        <f>IFERROR(AVERAGE(Vertices[Betweenness Centrality]),NoMetricMessage)</f>
        <v>336.89671362441328</v>
      </c>
    </row>
    <row r="100" spans="1:2" x14ac:dyDescent="0.3">
      <c r="A100" s="15" t="s">
        <v>104</v>
      </c>
      <c r="B100" s="29">
        <f>IFERROR(MEDIAN(Vertices[Betweenness Centrality]),NoMetricMessage)</f>
        <v>8.1141769999999998</v>
      </c>
    </row>
    <row r="111" spans="1:2" x14ac:dyDescent="0.3">
      <c r="A111" s="15" t="s">
        <v>107</v>
      </c>
      <c r="B111" s="29">
        <f>IF(COUNT(Vertices[Closeness Centrality])&gt;0, L2, NoMetricMessage)</f>
        <v>7.9900000000000001E-4</v>
      </c>
    </row>
    <row r="112" spans="1:2" x14ac:dyDescent="0.3">
      <c r="A112" s="15" t="s">
        <v>108</v>
      </c>
      <c r="B112" s="29">
        <f>IF(COUNT(Vertices[Closeness Centrality])&gt;0, L57, NoMetricMessage)</f>
        <v>1.6100000000000001E-3</v>
      </c>
    </row>
    <row r="113" spans="1:2" x14ac:dyDescent="0.3">
      <c r="A113" s="15" t="s">
        <v>109</v>
      </c>
      <c r="B113" s="29">
        <f>IFERROR(AVERAGE(Vertices[Closeness Centrality]),NoMetricMessage)</f>
        <v>1.1502488262910798E-3</v>
      </c>
    </row>
    <row r="114" spans="1:2" x14ac:dyDescent="0.3">
      <c r="A114" s="15" t="s">
        <v>110</v>
      </c>
      <c r="B114" s="29">
        <f>IFERROR(MEDIAN(Vertices[Closeness Centrality]),NoMetricMessage)</f>
        <v>1.1349999999999999E-3</v>
      </c>
    </row>
    <row r="125" spans="1:2" x14ac:dyDescent="0.3">
      <c r="A125" s="15" t="s">
        <v>113</v>
      </c>
      <c r="B125" s="29">
        <f>IF(COUNT(Vertices[Eigenvector Centrality])&gt;0, N2, NoMetricMessage)</f>
        <v>1.1E-4</v>
      </c>
    </row>
    <row r="126" spans="1:2" x14ac:dyDescent="0.3">
      <c r="A126" s="15" t="s">
        <v>114</v>
      </c>
      <c r="B126" s="29">
        <f>IF(COUNT(Vertices[Eigenvector Centrality])&gt;0, N57, NoMetricMessage)</f>
        <v>2.7439999999999999E-2</v>
      </c>
    </row>
    <row r="127" spans="1:2" x14ac:dyDescent="0.3">
      <c r="A127" s="15" t="s">
        <v>115</v>
      </c>
      <c r="B127" s="29">
        <f>IFERROR(AVERAGE(Vertices[Eigenvector Centrality]),NoMetricMessage)</f>
        <v>4.6949014084507051E-3</v>
      </c>
    </row>
    <row r="128" spans="1:2" x14ac:dyDescent="0.3">
      <c r="A128" s="15" t="s">
        <v>116</v>
      </c>
      <c r="B128" s="29">
        <f>IFERROR(MEDIAN(Vertices[Eigenvector Centrality]),NoMetricMessage)</f>
        <v>2.9559999999999999E-3</v>
      </c>
    </row>
    <row r="139" spans="1:2" x14ac:dyDescent="0.3">
      <c r="A139" s="15" t="s">
        <v>140</v>
      </c>
      <c r="B139" s="29">
        <f>IF(COUNT(Vertices[PageRank])&gt;0, P2, NoMetricMessage)</f>
        <v>0.37196000000000001</v>
      </c>
    </row>
    <row r="140" spans="1:2" x14ac:dyDescent="0.3">
      <c r="A140" s="15" t="s">
        <v>141</v>
      </c>
      <c r="B140" s="29">
        <f>IF(COUNT(Vertices[PageRank])&gt;0, P57, NoMetricMessage)</f>
        <v>6.6297610000000002</v>
      </c>
    </row>
    <row r="141" spans="1:2" x14ac:dyDescent="0.3">
      <c r="A141" s="15" t="s">
        <v>142</v>
      </c>
      <c r="B141" s="29">
        <f>IFERROR(AVERAGE(Vertices[PageRank]),NoMetricMessage)</f>
        <v>0.9999973615023473</v>
      </c>
    </row>
    <row r="142" spans="1:2" x14ac:dyDescent="0.3">
      <c r="A142" s="15" t="s">
        <v>143</v>
      </c>
      <c r="B142" s="29">
        <f>IFERROR(MEDIAN(Vertices[PageRank]),NoMetricMessage)</f>
        <v>0.60565800000000003</v>
      </c>
    </row>
    <row r="153" spans="1:2" x14ac:dyDescent="0.3">
      <c r="A153" s="15" t="s">
        <v>119</v>
      </c>
      <c r="B153" s="29">
        <f>IF(COUNT(Vertices[Clustering Coefficient])&gt;0, R2, NoMetricMessage)</f>
        <v>0</v>
      </c>
    </row>
    <row r="154" spans="1:2" x14ac:dyDescent="0.3">
      <c r="A154" s="15" t="s">
        <v>120</v>
      </c>
      <c r="B154" s="29">
        <f>IF(COUNT(Vertices[Clustering Coefficient])&gt;0, R57, NoMetricMessage)</f>
        <v>1</v>
      </c>
    </row>
    <row r="155" spans="1:2" x14ac:dyDescent="0.3">
      <c r="A155" s="15" t="s">
        <v>121</v>
      </c>
      <c r="B155" s="29">
        <f>IFERROR(AVERAGE(Vertices[Clustering Coefficient]),NoMetricMessage)</f>
        <v>2.0362345010232333E-2</v>
      </c>
    </row>
    <row r="156" spans="1:2" x14ac:dyDescent="0.3">
      <c r="A156" s="15" t="s">
        <v>122</v>
      </c>
      <c r="B156" s="29">
        <f>IFERROR(MEDIAN(Vertices[Clustering Coefficient]),NoMetricMessage)</f>
        <v>0</v>
      </c>
    </row>
  </sheetData>
  <dataConsolidate/>
  <pageMargins left="0.7" right="0.7" top="0.75" bottom="0.75" header="0.3" footer="0.3"/>
  <pageSetup orientation="portrait" verticalDpi="120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baseColWidth="10" defaultColWidth="8.88671875"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
      <c r="A2" s="1" t="s">
        <v>52</v>
      </c>
      <c r="B2" s="1" t="s">
        <v>132</v>
      </c>
      <c r="C2" t="s">
        <v>55</v>
      </c>
      <c r="D2" t="s">
        <v>56</v>
      </c>
      <c r="E2" t="s">
        <v>56</v>
      </c>
      <c r="F2" s="1" t="s">
        <v>52</v>
      </c>
      <c r="G2" t="s">
        <v>66</v>
      </c>
      <c r="H2" t="s">
        <v>159</v>
      </c>
      <c r="J2" t="s">
        <v>19</v>
      </c>
      <c r="K2">
        <v>108</v>
      </c>
      <c r="M2" t="s">
        <v>781</v>
      </c>
      <c r="N2" t="s">
        <v>177</v>
      </c>
      <c r="O2">
        <v>1</v>
      </c>
      <c r="P2">
        <v>3</v>
      </c>
    </row>
    <row r="3" spans="1:18" ht="28.8" x14ac:dyDescent="0.3">
      <c r="A3" s="1" t="s">
        <v>53</v>
      </c>
      <c r="B3" s="1" t="s">
        <v>133</v>
      </c>
      <c r="C3" t="s">
        <v>53</v>
      </c>
      <c r="D3" t="s">
        <v>57</v>
      </c>
      <c r="E3" t="s">
        <v>57</v>
      </c>
      <c r="F3" s="1" t="s">
        <v>53</v>
      </c>
      <c r="G3" t="s">
        <v>67</v>
      </c>
      <c r="H3" t="s">
        <v>69</v>
      </c>
      <c r="J3" t="s">
        <v>30</v>
      </c>
      <c r="K3" t="s">
        <v>31</v>
      </c>
      <c r="M3" t="s">
        <v>781</v>
      </c>
      <c r="N3" s="10" t="s">
        <v>178</v>
      </c>
      <c r="O3">
        <v>21916</v>
      </c>
      <c r="P3">
        <v>42824</v>
      </c>
    </row>
    <row r="4" spans="1:18" ht="28.8" x14ac:dyDescent="0.3">
      <c r="A4" s="1" t="s">
        <v>54</v>
      </c>
      <c r="B4" s="1" t="s">
        <v>134</v>
      </c>
      <c r="C4" t="s">
        <v>54</v>
      </c>
      <c r="D4" t="s">
        <v>58</v>
      </c>
      <c r="E4" t="s">
        <v>58</v>
      </c>
      <c r="F4" s="1" t="s">
        <v>54</v>
      </c>
      <c r="G4">
        <v>0</v>
      </c>
      <c r="H4" t="s">
        <v>70</v>
      </c>
      <c r="J4" s="9" t="s">
        <v>79</v>
      </c>
      <c r="K4" s="9"/>
      <c r="M4" t="s">
        <v>781</v>
      </c>
      <c r="N4" s="10" t="s">
        <v>179</v>
      </c>
      <c r="O4">
        <v>42005</v>
      </c>
      <c r="P4">
        <v>46252</v>
      </c>
    </row>
    <row r="5" spans="1:18" ht="409.6" x14ac:dyDescent="0.3">
      <c r="A5">
        <v>1</v>
      </c>
      <c r="B5" s="1" t="s">
        <v>135</v>
      </c>
      <c r="C5" t="s">
        <v>52</v>
      </c>
      <c r="D5" t="s">
        <v>59</v>
      </c>
      <c r="E5" t="s">
        <v>59</v>
      </c>
      <c r="F5">
        <v>1</v>
      </c>
      <c r="G5">
        <v>1</v>
      </c>
      <c r="H5" t="s">
        <v>71</v>
      </c>
      <c r="J5" t="s">
        <v>172</v>
      </c>
      <c r="K5" s="10" t="s">
        <v>784</v>
      </c>
      <c r="M5" t="s">
        <v>781</v>
      </c>
      <c r="N5" s="10" t="s">
        <v>180</v>
      </c>
      <c r="O5">
        <v>3</v>
      </c>
      <c r="P5">
        <v>120</v>
      </c>
    </row>
    <row r="6" spans="1:18" x14ac:dyDescent="0.3">
      <c r="A6">
        <v>0</v>
      </c>
      <c r="B6" s="1" t="s">
        <v>136</v>
      </c>
      <c r="C6">
        <v>1</v>
      </c>
      <c r="D6" t="s">
        <v>60</v>
      </c>
      <c r="E6" t="s">
        <v>60</v>
      </c>
      <c r="F6">
        <v>0</v>
      </c>
      <c r="H6" t="s">
        <v>72</v>
      </c>
      <c r="J6" t="s">
        <v>173</v>
      </c>
      <c r="K6">
        <v>2</v>
      </c>
      <c r="M6" t="s">
        <v>146</v>
      </c>
      <c r="N6" s="10" t="s">
        <v>46</v>
      </c>
      <c r="O6">
        <v>5</v>
      </c>
      <c r="P6">
        <v>7</v>
      </c>
      <c r="R6" t="s">
        <v>129</v>
      </c>
    </row>
    <row r="7" spans="1:18" x14ac:dyDescent="0.3">
      <c r="A7">
        <v>2</v>
      </c>
      <c r="B7">
        <v>1</v>
      </c>
      <c r="C7">
        <v>0</v>
      </c>
      <c r="D7" t="s">
        <v>61</v>
      </c>
      <c r="E7" t="s">
        <v>61</v>
      </c>
      <c r="F7">
        <v>2</v>
      </c>
      <c r="H7" t="s">
        <v>73</v>
      </c>
      <c r="J7" t="s">
        <v>174</v>
      </c>
      <c r="K7" t="s">
        <v>778</v>
      </c>
      <c r="M7" t="s">
        <v>146</v>
      </c>
      <c r="N7" s="10" t="s">
        <v>15</v>
      </c>
      <c r="O7">
        <v>70</v>
      </c>
      <c r="P7">
        <v>9934.1943359375</v>
      </c>
    </row>
    <row r="8" spans="1:18" ht="409.6" x14ac:dyDescent="0.3">
      <c r="A8"/>
      <c r="B8">
        <v>2</v>
      </c>
      <c r="C8">
        <v>2</v>
      </c>
      <c r="D8" t="s">
        <v>62</v>
      </c>
      <c r="E8" t="s">
        <v>62</v>
      </c>
      <c r="H8" t="s">
        <v>74</v>
      </c>
      <c r="J8" t="s">
        <v>682</v>
      </c>
      <c r="K8" s="10" t="s">
        <v>790</v>
      </c>
      <c r="M8" t="s">
        <v>146</v>
      </c>
      <c r="N8" s="10" t="s">
        <v>16</v>
      </c>
      <c r="O8">
        <v>104</v>
      </c>
      <c r="P8">
        <v>9891.5419921875</v>
      </c>
    </row>
    <row r="9" spans="1:18" x14ac:dyDescent="0.3">
      <c r="A9"/>
      <c r="B9">
        <v>3</v>
      </c>
      <c r="C9">
        <v>4</v>
      </c>
      <c r="D9" t="s">
        <v>63</v>
      </c>
      <c r="E9" t="s">
        <v>63</v>
      </c>
      <c r="H9" t="s">
        <v>75</v>
      </c>
      <c r="M9" t="s">
        <v>146</v>
      </c>
      <c r="N9" s="10" t="s">
        <v>32</v>
      </c>
      <c r="O9">
        <v>1</v>
      </c>
      <c r="P9">
        <v>20</v>
      </c>
    </row>
    <row r="10" spans="1:18" ht="43.2" x14ac:dyDescent="0.3">
      <c r="A10"/>
      <c r="B10">
        <v>4</v>
      </c>
      <c r="D10" t="s">
        <v>64</v>
      </c>
      <c r="E10" t="s">
        <v>64</v>
      </c>
      <c r="H10" t="s">
        <v>76</v>
      </c>
      <c r="M10" t="s">
        <v>146</v>
      </c>
      <c r="N10" s="10" t="s">
        <v>35</v>
      </c>
      <c r="O10">
        <v>0</v>
      </c>
      <c r="P10">
        <v>5348.8891750000003</v>
      </c>
    </row>
    <row r="11" spans="1:18" ht="28.8" x14ac:dyDescent="0.3">
      <c r="A11"/>
      <c r="B11">
        <v>5</v>
      </c>
      <c r="D11" t="s">
        <v>47</v>
      </c>
      <c r="E11">
        <v>1</v>
      </c>
      <c r="H11" t="s">
        <v>77</v>
      </c>
      <c r="M11" t="s">
        <v>146</v>
      </c>
      <c r="N11" s="10" t="s">
        <v>36</v>
      </c>
      <c r="O11">
        <v>7.9900000000000001E-4</v>
      </c>
      <c r="P11">
        <v>1.6100000000000001E-3</v>
      </c>
    </row>
    <row r="12" spans="1:18" ht="28.8" x14ac:dyDescent="0.3">
      <c r="A12"/>
      <c r="B12"/>
      <c r="D12" t="s">
        <v>65</v>
      </c>
      <c r="E12">
        <v>2</v>
      </c>
      <c r="H12">
        <v>0</v>
      </c>
      <c r="M12" t="s">
        <v>146</v>
      </c>
      <c r="N12" s="10" t="s">
        <v>37</v>
      </c>
      <c r="O12">
        <v>1.1E-4</v>
      </c>
      <c r="P12">
        <v>2.7439999999999999E-2</v>
      </c>
    </row>
    <row r="13" spans="1:18" x14ac:dyDescent="0.3">
      <c r="A13"/>
      <c r="B13"/>
      <c r="D13">
        <v>1</v>
      </c>
      <c r="E13">
        <v>3</v>
      </c>
      <c r="H13">
        <v>1</v>
      </c>
      <c r="M13" t="s">
        <v>146</v>
      </c>
      <c r="N13" s="10" t="s">
        <v>137</v>
      </c>
      <c r="O13">
        <v>0.37196000000000001</v>
      </c>
      <c r="P13">
        <v>6.6297610000000002</v>
      </c>
    </row>
    <row r="14" spans="1:18" ht="28.8" x14ac:dyDescent="0.3">
      <c r="D14">
        <v>2</v>
      </c>
      <c r="E14">
        <v>4</v>
      </c>
      <c r="H14">
        <v>2</v>
      </c>
      <c r="M14" t="s">
        <v>146</v>
      </c>
      <c r="N14" s="10" t="s">
        <v>38</v>
      </c>
      <c r="O14">
        <v>0</v>
      </c>
      <c r="P14">
        <v>1</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1200" verticalDpi="120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2"/>
  <sheetViews>
    <sheetView workbookViewId="0"/>
  </sheetViews>
  <sheetFormatPr baseColWidth="10" defaultColWidth="8.88671875" defaultRowHeight="14.4" x14ac:dyDescent="0.3"/>
  <cols>
    <col min="1" max="1" width="9.5546875" customWidth="1"/>
    <col min="2" max="2" width="9.6640625" bestFit="1" customWidth="1"/>
    <col min="3" max="3" width="12.44140625" bestFit="1" customWidth="1"/>
  </cols>
  <sheetData>
    <row r="1" spans="1:3" x14ac:dyDescent="0.3">
      <c r="C1" s="15" t="s">
        <v>43</v>
      </c>
    </row>
    <row r="2" spans="1:3" ht="14.4" customHeight="1" x14ac:dyDescent="0.3">
      <c r="A2" s="10" t="s">
        <v>779</v>
      </c>
      <c r="B2" s="152" t="s">
        <v>780</v>
      </c>
      <c r="C2" s="153" t="s">
        <v>781</v>
      </c>
    </row>
    <row r="3" spans="1:3" x14ac:dyDescent="0.3">
      <c r="A3" s="151" t="s">
        <v>754</v>
      </c>
      <c r="B3" s="151" t="s">
        <v>754</v>
      </c>
      <c r="C3" s="16">
        <v>37</v>
      </c>
    </row>
    <row r="4" spans="1:3" x14ac:dyDescent="0.3">
      <c r="A4" s="162" t="s">
        <v>754</v>
      </c>
      <c r="B4" s="161" t="s">
        <v>755</v>
      </c>
      <c r="C4" s="16">
        <v>6</v>
      </c>
    </row>
    <row r="5" spans="1:3" x14ac:dyDescent="0.3">
      <c r="A5" s="162" t="s">
        <v>754</v>
      </c>
      <c r="B5" s="161" t="s">
        <v>756</v>
      </c>
      <c r="C5" s="16">
        <v>1</v>
      </c>
    </row>
    <row r="6" spans="1:3" x14ac:dyDescent="0.3">
      <c r="A6" s="162" t="s">
        <v>754</v>
      </c>
      <c r="B6" s="161" t="s">
        <v>757</v>
      </c>
      <c r="C6" s="16">
        <v>1</v>
      </c>
    </row>
    <row r="7" spans="1:3" x14ac:dyDescent="0.3">
      <c r="A7" s="162" t="s">
        <v>754</v>
      </c>
      <c r="B7" s="161" t="s">
        <v>758</v>
      </c>
      <c r="C7" s="16">
        <v>2</v>
      </c>
    </row>
    <row r="8" spans="1:3" x14ac:dyDescent="0.3">
      <c r="A8" s="162" t="s">
        <v>754</v>
      </c>
      <c r="B8" s="161" t="s">
        <v>759</v>
      </c>
      <c r="C8" s="16">
        <v>2</v>
      </c>
    </row>
    <row r="9" spans="1:3" x14ac:dyDescent="0.3">
      <c r="A9" s="162" t="s">
        <v>754</v>
      </c>
      <c r="B9" s="161" t="s">
        <v>760</v>
      </c>
      <c r="C9" s="16">
        <v>2</v>
      </c>
    </row>
    <row r="10" spans="1:3" x14ac:dyDescent="0.3">
      <c r="A10" s="162" t="s">
        <v>754</v>
      </c>
      <c r="B10" s="161" t="s">
        <v>762</v>
      </c>
      <c r="C10" s="16">
        <v>1</v>
      </c>
    </row>
    <row r="11" spans="1:3" x14ac:dyDescent="0.3">
      <c r="A11" s="162" t="s">
        <v>754</v>
      </c>
      <c r="B11" s="161" t="s">
        <v>763</v>
      </c>
      <c r="C11" s="16">
        <v>6</v>
      </c>
    </row>
    <row r="12" spans="1:3" x14ac:dyDescent="0.3">
      <c r="A12" s="162" t="s">
        <v>755</v>
      </c>
      <c r="B12" s="161" t="s">
        <v>755</v>
      </c>
      <c r="C12" s="16">
        <v>20</v>
      </c>
    </row>
    <row r="13" spans="1:3" x14ac:dyDescent="0.3">
      <c r="A13" s="162" t="s">
        <v>755</v>
      </c>
      <c r="B13" s="161" t="s">
        <v>756</v>
      </c>
      <c r="C13" s="16">
        <v>3</v>
      </c>
    </row>
    <row r="14" spans="1:3" x14ac:dyDescent="0.3">
      <c r="A14" s="162" t="s">
        <v>755</v>
      </c>
      <c r="B14" s="161" t="s">
        <v>757</v>
      </c>
      <c r="C14" s="16">
        <v>4</v>
      </c>
    </row>
    <row r="15" spans="1:3" x14ac:dyDescent="0.3">
      <c r="A15" s="162" t="s">
        <v>755</v>
      </c>
      <c r="B15" s="161" t="s">
        <v>758</v>
      </c>
      <c r="C15" s="16">
        <v>3</v>
      </c>
    </row>
    <row r="16" spans="1:3" x14ac:dyDescent="0.3">
      <c r="A16" s="162" t="s">
        <v>755</v>
      </c>
      <c r="B16" s="161" t="s">
        <v>759</v>
      </c>
      <c r="C16" s="16">
        <v>2</v>
      </c>
    </row>
    <row r="17" spans="1:3" x14ac:dyDescent="0.3">
      <c r="A17" s="162" t="s">
        <v>755</v>
      </c>
      <c r="B17" s="161" t="s">
        <v>760</v>
      </c>
      <c r="C17" s="16">
        <v>1</v>
      </c>
    </row>
    <row r="18" spans="1:3" x14ac:dyDescent="0.3">
      <c r="A18" s="162" t="s">
        <v>755</v>
      </c>
      <c r="B18" s="161" t="s">
        <v>763</v>
      </c>
      <c r="C18" s="16">
        <v>3</v>
      </c>
    </row>
    <row r="19" spans="1:3" x14ac:dyDescent="0.3">
      <c r="A19" s="162" t="s">
        <v>756</v>
      </c>
      <c r="B19" s="161" t="s">
        <v>756</v>
      </c>
      <c r="C19" s="16">
        <v>37</v>
      </c>
    </row>
    <row r="20" spans="1:3" x14ac:dyDescent="0.3">
      <c r="A20" s="162" t="s">
        <v>756</v>
      </c>
      <c r="B20" s="161" t="s">
        <v>757</v>
      </c>
      <c r="C20" s="16">
        <v>4</v>
      </c>
    </row>
    <row r="21" spans="1:3" x14ac:dyDescent="0.3">
      <c r="A21" s="162" t="s">
        <v>756</v>
      </c>
      <c r="B21" s="161" t="s">
        <v>758</v>
      </c>
      <c r="C21" s="16">
        <v>7</v>
      </c>
    </row>
    <row r="22" spans="1:3" x14ac:dyDescent="0.3">
      <c r="A22" s="162" t="s">
        <v>756</v>
      </c>
      <c r="B22" s="161" t="s">
        <v>759</v>
      </c>
      <c r="C22" s="16">
        <v>2</v>
      </c>
    </row>
    <row r="23" spans="1:3" x14ac:dyDescent="0.3">
      <c r="A23" s="162" t="s">
        <v>756</v>
      </c>
      <c r="B23" s="161" t="s">
        <v>760</v>
      </c>
      <c r="C23" s="16">
        <v>3</v>
      </c>
    </row>
    <row r="24" spans="1:3" x14ac:dyDescent="0.3">
      <c r="A24" s="162" t="s">
        <v>756</v>
      </c>
      <c r="B24" s="161" t="s">
        <v>761</v>
      </c>
      <c r="C24" s="16">
        <v>2</v>
      </c>
    </row>
    <row r="25" spans="1:3" x14ac:dyDescent="0.3">
      <c r="A25" s="162" t="s">
        <v>756</v>
      </c>
      <c r="B25" s="161" t="s">
        <v>763</v>
      </c>
      <c r="C25" s="16">
        <v>4</v>
      </c>
    </row>
    <row r="26" spans="1:3" x14ac:dyDescent="0.3">
      <c r="A26" s="162" t="s">
        <v>757</v>
      </c>
      <c r="B26" s="161" t="s">
        <v>757</v>
      </c>
      <c r="C26" s="16">
        <v>38</v>
      </c>
    </row>
    <row r="27" spans="1:3" x14ac:dyDescent="0.3">
      <c r="A27" s="162" t="s">
        <v>757</v>
      </c>
      <c r="B27" s="161" t="s">
        <v>758</v>
      </c>
      <c r="C27" s="16">
        <v>7</v>
      </c>
    </row>
    <row r="28" spans="1:3" x14ac:dyDescent="0.3">
      <c r="A28" s="162" t="s">
        <v>757</v>
      </c>
      <c r="B28" s="161" t="s">
        <v>759</v>
      </c>
      <c r="C28" s="16">
        <v>1</v>
      </c>
    </row>
    <row r="29" spans="1:3" x14ac:dyDescent="0.3">
      <c r="A29" s="162" t="s">
        <v>757</v>
      </c>
      <c r="B29" s="161" t="s">
        <v>760</v>
      </c>
      <c r="C29" s="16">
        <v>4</v>
      </c>
    </row>
    <row r="30" spans="1:3" x14ac:dyDescent="0.3">
      <c r="A30" s="162" t="s">
        <v>757</v>
      </c>
      <c r="B30" s="161" t="s">
        <v>761</v>
      </c>
      <c r="C30" s="16">
        <v>1</v>
      </c>
    </row>
    <row r="31" spans="1:3" x14ac:dyDescent="0.3">
      <c r="A31" s="162" t="s">
        <v>757</v>
      </c>
      <c r="B31" s="161" t="s">
        <v>762</v>
      </c>
      <c r="C31" s="16">
        <v>1</v>
      </c>
    </row>
    <row r="32" spans="1:3" x14ac:dyDescent="0.3">
      <c r="A32" s="162" t="s">
        <v>757</v>
      </c>
      <c r="B32" s="161" t="s">
        <v>764</v>
      </c>
      <c r="C32" s="16">
        <v>1</v>
      </c>
    </row>
    <row r="33" spans="1:3" x14ac:dyDescent="0.3">
      <c r="A33" s="162" t="s">
        <v>758</v>
      </c>
      <c r="B33" s="161" t="s">
        <v>758</v>
      </c>
      <c r="C33" s="16">
        <v>19</v>
      </c>
    </row>
    <row r="34" spans="1:3" x14ac:dyDescent="0.3">
      <c r="A34" s="162" t="s">
        <v>758</v>
      </c>
      <c r="B34" s="161" t="s">
        <v>759</v>
      </c>
      <c r="C34" s="16">
        <v>1</v>
      </c>
    </row>
    <row r="35" spans="1:3" x14ac:dyDescent="0.3">
      <c r="A35" s="162" t="s">
        <v>758</v>
      </c>
      <c r="B35" s="161" t="s">
        <v>760</v>
      </c>
      <c r="C35" s="16">
        <v>3</v>
      </c>
    </row>
    <row r="36" spans="1:3" x14ac:dyDescent="0.3">
      <c r="A36" s="162" t="s">
        <v>758</v>
      </c>
      <c r="B36" s="161" t="s">
        <v>761</v>
      </c>
      <c r="C36" s="16">
        <v>2</v>
      </c>
    </row>
    <row r="37" spans="1:3" x14ac:dyDescent="0.3">
      <c r="A37" s="162" t="s">
        <v>758</v>
      </c>
      <c r="B37" s="161" t="s">
        <v>762</v>
      </c>
      <c r="C37" s="16">
        <v>1</v>
      </c>
    </row>
    <row r="38" spans="1:3" x14ac:dyDescent="0.3">
      <c r="A38" s="162" t="s">
        <v>758</v>
      </c>
      <c r="B38" s="161" t="s">
        <v>763</v>
      </c>
      <c r="C38" s="16">
        <v>5</v>
      </c>
    </row>
    <row r="39" spans="1:3" x14ac:dyDescent="0.3">
      <c r="A39" s="162" t="s">
        <v>759</v>
      </c>
      <c r="B39" s="161" t="s">
        <v>759</v>
      </c>
      <c r="C39" s="16">
        <v>24</v>
      </c>
    </row>
    <row r="40" spans="1:3" x14ac:dyDescent="0.3">
      <c r="A40" s="162" t="s">
        <v>759</v>
      </c>
      <c r="B40" s="161" t="s">
        <v>761</v>
      </c>
      <c r="C40" s="16">
        <v>1</v>
      </c>
    </row>
    <row r="41" spans="1:3" x14ac:dyDescent="0.3">
      <c r="A41" s="162" t="s">
        <v>759</v>
      </c>
      <c r="B41" s="161" t="s">
        <v>763</v>
      </c>
      <c r="C41" s="16">
        <v>2</v>
      </c>
    </row>
    <row r="42" spans="1:3" x14ac:dyDescent="0.3">
      <c r="A42" s="162" t="s">
        <v>760</v>
      </c>
      <c r="B42" s="161" t="s">
        <v>760</v>
      </c>
      <c r="C42" s="16">
        <v>19</v>
      </c>
    </row>
    <row r="43" spans="1:3" x14ac:dyDescent="0.3">
      <c r="A43" s="162" t="s">
        <v>760</v>
      </c>
      <c r="B43" s="161" t="s">
        <v>761</v>
      </c>
      <c r="C43" s="16">
        <v>1</v>
      </c>
    </row>
    <row r="44" spans="1:3" x14ac:dyDescent="0.3">
      <c r="A44" s="162" t="s">
        <v>760</v>
      </c>
      <c r="B44" s="161" t="s">
        <v>762</v>
      </c>
      <c r="C44" s="16">
        <v>1</v>
      </c>
    </row>
    <row r="45" spans="1:3" x14ac:dyDescent="0.3">
      <c r="A45" s="162" t="s">
        <v>760</v>
      </c>
      <c r="B45" s="161" t="s">
        <v>763</v>
      </c>
      <c r="C45" s="16">
        <v>1</v>
      </c>
    </row>
    <row r="46" spans="1:3" x14ac:dyDescent="0.3">
      <c r="A46" s="162" t="s">
        <v>761</v>
      </c>
      <c r="B46" s="161" t="s">
        <v>761</v>
      </c>
      <c r="C46" s="16">
        <v>5</v>
      </c>
    </row>
    <row r="47" spans="1:3" x14ac:dyDescent="0.3">
      <c r="A47" s="162" t="s">
        <v>761</v>
      </c>
      <c r="B47" s="161" t="s">
        <v>762</v>
      </c>
      <c r="C47" s="16">
        <v>1</v>
      </c>
    </row>
    <row r="48" spans="1:3" x14ac:dyDescent="0.3">
      <c r="A48" s="162" t="s">
        <v>761</v>
      </c>
      <c r="B48" s="161" t="s">
        <v>763</v>
      </c>
      <c r="C48" s="16">
        <v>1</v>
      </c>
    </row>
    <row r="49" spans="1:3" x14ac:dyDescent="0.3">
      <c r="A49" s="162" t="s">
        <v>762</v>
      </c>
      <c r="B49" s="161" t="s">
        <v>762</v>
      </c>
      <c r="C49" s="16">
        <v>15</v>
      </c>
    </row>
    <row r="50" spans="1:3" x14ac:dyDescent="0.3">
      <c r="A50" s="162" t="s">
        <v>762</v>
      </c>
      <c r="B50" s="161" t="s">
        <v>763</v>
      </c>
      <c r="C50" s="16">
        <v>2</v>
      </c>
    </row>
    <row r="51" spans="1:3" x14ac:dyDescent="0.3">
      <c r="A51" s="162" t="s">
        <v>763</v>
      </c>
      <c r="B51" s="161" t="s">
        <v>763</v>
      </c>
      <c r="C51" s="16">
        <v>18</v>
      </c>
    </row>
    <row r="52" spans="1:3" x14ac:dyDescent="0.3">
      <c r="A52" s="162" t="s">
        <v>764</v>
      </c>
      <c r="B52" s="161" t="s">
        <v>764</v>
      </c>
      <c r="C52" s="16">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212AFE0-030F-4B08-80F2-BA54014901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Group Edges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Rossier</dc:creator>
  <cp:lastModifiedBy>Francisco Rossier</cp:lastModifiedBy>
  <dcterms:created xsi:type="dcterms:W3CDTF">2008-01-30T00:41:58Z</dcterms:created>
  <dcterms:modified xsi:type="dcterms:W3CDTF">2017-10-25T21:17:26Z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