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angarcia/Dropbox/PERS/"/>
    </mc:Choice>
  </mc:AlternateContent>
  <xr:revisionPtr revIDLastSave="0" documentId="13_ncr:1_{4375E9FB-555E-1E41-BADC-32512FD9666C}" xr6:coauthVersionLast="47" xr6:coauthVersionMax="47" xr10:uidLastSave="{00000000-0000-0000-0000-000000000000}"/>
  <bookViews>
    <workbookView xWindow="0" yWindow="500" windowWidth="28800" windowHeight="16560" firstSheet="2" activeTab="2" xr2:uid="{00000000-000D-0000-FFFF-FFFF00000000}"/>
  </bookViews>
  <sheets>
    <sheet name="CNPV_2018_DANE_CAUCA" sheetId="3" r:id="rId1"/>
    <sheet name="Consolidado" sheetId="4" r:id="rId2"/>
    <sheet name="Calculos" sheetId="5" r:id="rId3"/>
    <sheet name="Fexpa" sheetId="10" r:id="rId4"/>
    <sheet name="Consolidado (2)" sheetId="6" r:id="rId5"/>
    <sheet name="Hoja1" sheetId="8" r:id="rId6"/>
    <sheet name="Tablas_Consolidadas_Copia" sheetId="11" r:id="rId7"/>
    <sheet name="Hoja4" sheetId="13" r:id="rId8"/>
    <sheet name="Hoja3" sheetId="12" r:id="rId9"/>
    <sheet name="Hoja2" sheetId="9" r:id="rId10"/>
    <sheet name="Calculo de Muestra" sheetId="7" r:id="rId11"/>
  </sheets>
  <definedNames>
    <definedName name="_xlnm._FilterDatabase" localSheetId="2" hidden="1">Calculos!$V$25:$AF$67</definedName>
    <definedName name="_xlnm._FilterDatabase" localSheetId="4" hidden="1">'Consolidado (2)'!$A$1:$R$43</definedName>
  </definedNames>
  <calcPr calcId="191029"/>
  <pivotCaches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70" i="5" l="1"/>
  <c r="AI71" i="5"/>
  <c r="AI27" i="5"/>
  <c r="AI28" i="5"/>
  <c r="AI29" i="5"/>
  <c r="AI30" i="5"/>
  <c r="AI31" i="5"/>
  <c r="AI32" i="5"/>
  <c r="AI70" i="5" s="1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26" i="5"/>
  <c r="AH69" i="5"/>
  <c r="C9" i="7"/>
  <c r="D9" i="13"/>
  <c r="C9" i="13"/>
  <c r="B9" i="13"/>
  <c r="S3" i="11"/>
  <c r="P45" i="11"/>
  <c r="N45" i="11"/>
  <c r="K45" i="11"/>
  <c r="G45" i="11"/>
  <c r="F45" i="11"/>
  <c r="S44" i="11"/>
  <c r="R44" i="11"/>
  <c r="O44" i="11"/>
  <c r="M44" i="11"/>
  <c r="H44" i="11"/>
  <c r="D44" i="11"/>
  <c r="E44" i="11" s="1"/>
  <c r="S43" i="11"/>
  <c r="R43" i="11"/>
  <c r="O43" i="11"/>
  <c r="M43" i="11"/>
  <c r="H43" i="11"/>
  <c r="E43" i="11"/>
  <c r="D43" i="11"/>
  <c r="S42" i="11"/>
  <c r="R42" i="11"/>
  <c r="O42" i="11"/>
  <c r="M42" i="11"/>
  <c r="H42" i="11"/>
  <c r="D42" i="11"/>
  <c r="E42" i="11" s="1"/>
  <c r="S41" i="11"/>
  <c r="R41" i="11"/>
  <c r="O41" i="11"/>
  <c r="M41" i="11"/>
  <c r="H41" i="11"/>
  <c r="D41" i="11"/>
  <c r="E41" i="11" s="1"/>
  <c r="S40" i="11"/>
  <c r="R40" i="11"/>
  <c r="O40" i="11"/>
  <c r="M40" i="11"/>
  <c r="H40" i="11"/>
  <c r="D40" i="11"/>
  <c r="E40" i="11" s="1"/>
  <c r="S39" i="11"/>
  <c r="R39" i="11"/>
  <c r="O39" i="11"/>
  <c r="M39" i="11"/>
  <c r="H39" i="11"/>
  <c r="D39" i="11"/>
  <c r="E39" i="11" s="1"/>
  <c r="S38" i="11"/>
  <c r="R38" i="11"/>
  <c r="O38" i="11"/>
  <c r="M38" i="11"/>
  <c r="H38" i="11"/>
  <c r="D38" i="11"/>
  <c r="E38" i="11" s="1"/>
  <c r="S37" i="11"/>
  <c r="R37" i="11"/>
  <c r="O37" i="11"/>
  <c r="M37" i="11"/>
  <c r="H37" i="11"/>
  <c r="D37" i="11"/>
  <c r="E37" i="11" s="1"/>
  <c r="S36" i="11"/>
  <c r="R36" i="11"/>
  <c r="O36" i="11"/>
  <c r="M36" i="11"/>
  <c r="H36" i="11"/>
  <c r="D36" i="11"/>
  <c r="E36" i="11" s="1"/>
  <c r="S35" i="11"/>
  <c r="R35" i="11"/>
  <c r="O35" i="11"/>
  <c r="M35" i="11"/>
  <c r="H35" i="11"/>
  <c r="D35" i="11"/>
  <c r="E35" i="11" s="1"/>
  <c r="S34" i="11"/>
  <c r="R34" i="11"/>
  <c r="O34" i="11"/>
  <c r="M34" i="11"/>
  <c r="H34" i="11"/>
  <c r="D34" i="11"/>
  <c r="E34" i="11" s="1"/>
  <c r="S33" i="11"/>
  <c r="R33" i="11"/>
  <c r="O33" i="11"/>
  <c r="M33" i="11"/>
  <c r="H33" i="11"/>
  <c r="D33" i="11"/>
  <c r="E33" i="11" s="1"/>
  <c r="S32" i="11"/>
  <c r="R32" i="11"/>
  <c r="O32" i="11"/>
  <c r="M32" i="11"/>
  <c r="H32" i="11"/>
  <c r="D32" i="11"/>
  <c r="E32" i="11" s="1"/>
  <c r="S31" i="11"/>
  <c r="R31" i="11"/>
  <c r="O31" i="11"/>
  <c r="M31" i="11"/>
  <c r="H31" i="11"/>
  <c r="D31" i="11"/>
  <c r="E31" i="11" s="1"/>
  <c r="S30" i="11"/>
  <c r="R30" i="11"/>
  <c r="O30" i="11"/>
  <c r="M30" i="11"/>
  <c r="H30" i="11"/>
  <c r="D30" i="11"/>
  <c r="E30" i="11" s="1"/>
  <c r="S29" i="11"/>
  <c r="R29" i="11"/>
  <c r="O29" i="11"/>
  <c r="M29" i="11"/>
  <c r="H29" i="11"/>
  <c r="D29" i="11"/>
  <c r="E29" i="11" s="1"/>
  <c r="S28" i="11"/>
  <c r="R28" i="11"/>
  <c r="O28" i="11"/>
  <c r="M28" i="11"/>
  <c r="H28" i="11"/>
  <c r="D28" i="11"/>
  <c r="E28" i="11" s="1"/>
  <c r="S27" i="11"/>
  <c r="R27" i="11"/>
  <c r="O27" i="11"/>
  <c r="M27" i="11"/>
  <c r="H27" i="11"/>
  <c r="D27" i="11"/>
  <c r="E27" i="11" s="1"/>
  <c r="S26" i="11"/>
  <c r="R26" i="11"/>
  <c r="O26" i="11"/>
  <c r="M26" i="11"/>
  <c r="H26" i="11"/>
  <c r="D26" i="11"/>
  <c r="E26" i="11" s="1"/>
  <c r="S25" i="11"/>
  <c r="R25" i="11"/>
  <c r="O25" i="11"/>
  <c r="M25" i="11"/>
  <c r="H25" i="11"/>
  <c r="D25" i="11"/>
  <c r="E25" i="11" s="1"/>
  <c r="S24" i="11"/>
  <c r="R24" i="11"/>
  <c r="O24" i="11"/>
  <c r="M24" i="11"/>
  <c r="H24" i="11"/>
  <c r="D24" i="11"/>
  <c r="E24" i="11" s="1"/>
  <c r="S23" i="11"/>
  <c r="R23" i="11"/>
  <c r="O23" i="11"/>
  <c r="M23" i="11"/>
  <c r="H23" i="11"/>
  <c r="D23" i="11"/>
  <c r="E23" i="11" s="1"/>
  <c r="S22" i="11"/>
  <c r="R22" i="11"/>
  <c r="O22" i="11"/>
  <c r="M22" i="11"/>
  <c r="H22" i="11"/>
  <c r="D22" i="11"/>
  <c r="E22" i="11" s="1"/>
  <c r="S21" i="11"/>
  <c r="R21" i="11"/>
  <c r="O21" i="11"/>
  <c r="M21" i="11"/>
  <c r="H21" i="11"/>
  <c r="D21" i="11"/>
  <c r="E21" i="11" s="1"/>
  <c r="S20" i="11"/>
  <c r="R20" i="11"/>
  <c r="O20" i="11"/>
  <c r="M20" i="11"/>
  <c r="H20" i="11"/>
  <c r="D20" i="11"/>
  <c r="E20" i="11" s="1"/>
  <c r="S19" i="11"/>
  <c r="R19" i="11"/>
  <c r="O19" i="11"/>
  <c r="M19" i="11"/>
  <c r="H19" i="11"/>
  <c r="D19" i="11"/>
  <c r="E19" i="11" s="1"/>
  <c r="S18" i="11"/>
  <c r="R18" i="11"/>
  <c r="O18" i="11"/>
  <c r="M18" i="11"/>
  <c r="H18" i="11"/>
  <c r="D18" i="11"/>
  <c r="E18" i="11" s="1"/>
  <c r="S17" i="11"/>
  <c r="R17" i="11"/>
  <c r="O17" i="11"/>
  <c r="M17" i="11"/>
  <c r="H17" i="11"/>
  <c r="D17" i="11"/>
  <c r="E17" i="11" s="1"/>
  <c r="S16" i="11"/>
  <c r="R16" i="11"/>
  <c r="O16" i="11"/>
  <c r="M16" i="11"/>
  <c r="H16" i="11"/>
  <c r="E16" i="11"/>
  <c r="D16" i="11"/>
  <c r="S15" i="11"/>
  <c r="R15" i="11"/>
  <c r="O15" i="11"/>
  <c r="M15" i="11"/>
  <c r="H15" i="11"/>
  <c r="D15" i="11"/>
  <c r="E15" i="11" s="1"/>
  <c r="S14" i="11"/>
  <c r="R14" i="11"/>
  <c r="O14" i="11"/>
  <c r="M14" i="11"/>
  <c r="H14" i="11"/>
  <c r="D14" i="11"/>
  <c r="E14" i="11" s="1"/>
  <c r="S13" i="11"/>
  <c r="R13" i="11"/>
  <c r="O13" i="11"/>
  <c r="M13" i="11"/>
  <c r="H13" i="11"/>
  <c r="E13" i="11"/>
  <c r="D13" i="11"/>
  <c r="S12" i="11"/>
  <c r="R12" i="11"/>
  <c r="O12" i="11"/>
  <c r="M12" i="11"/>
  <c r="H12" i="11"/>
  <c r="D12" i="11"/>
  <c r="E12" i="11" s="1"/>
  <c r="S11" i="11"/>
  <c r="R11" i="11"/>
  <c r="O11" i="11"/>
  <c r="M11" i="11"/>
  <c r="H11" i="11"/>
  <c r="E11" i="11"/>
  <c r="D11" i="11"/>
  <c r="S10" i="11"/>
  <c r="R10" i="11"/>
  <c r="O10" i="11"/>
  <c r="M10" i="11"/>
  <c r="H10" i="11"/>
  <c r="D10" i="11"/>
  <c r="E10" i="11" s="1"/>
  <c r="S9" i="11"/>
  <c r="R9" i="11"/>
  <c r="O9" i="11"/>
  <c r="M9" i="11"/>
  <c r="H9" i="11"/>
  <c r="D9" i="11"/>
  <c r="E9" i="11" s="1"/>
  <c r="S8" i="11"/>
  <c r="R8" i="11"/>
  <c r="O8" i="11"/>
  <c r="M8" i="11"/>
  <c r="H8" i="11"/>
  <c r="D8" i="11"/>
  <c r="E8" i="11" s="1"/>
  <c r="S7" i="11"/>
  <c r="R7" i="11"/>
  <c r="O7" i="11"/>
  <c r="M7" i="11"/>
  <c r="H7" i="11"/>
  <c r="D7" i="11"/>
  <c r="E7" i="11" s="1"/>
  <c r="S6" i="11"/>
  <c r="R6" i="11"/>
  <c r="O6" i="11"/>
  <c r="M6" i="11"/>
  <c r="H6" i="11"/>
  <c r="D6" i="11"/>
  <c r="E6" i="11" s="1"/>
  <c r="S5" i="11"/>
  <c r="R5" i="11"/>
  <c r="O5" i="11"/>
  <c r="M5" i="11"/>
  <c r="H5" i="11"/>
  <c r="D5" i="11"/>
  <c r="E5" i="11" s="1"/>
  <c r="S4" i="11"/>
  <c r="R4" i="11"/>
  <c r="O4" i="11"/>
  <c r="M4" i="11"/>
  <c r="H4" i="11"/>
  <c r="D4" i="11"/>
  <c r="E4" i="11" s="1"/>
  <c r="R3" i="11"/>
  <c r="O3" i="11"/>
  <c r="M3" i="11"/>
  <c r="H3" i="11"/>
  <c r="E3" i="11"/>
  <c r="D3" i="11"/>
  <c r="D4" i="8"/>
  <c r="D5" i="8"/>
  <c r="D6" i="8"/>
  <c r="D7" i="8"/>
  <c r="D45" i="8" s="1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3" i="8"/>
  <c r="C5" i="7"/>
  <c r="O45" i="8"/>
  <c r="P45" i="8"/>
  <c r="Q45" i="8"/>
  <c r="R45" i="8"/>
  <c r="T45" i="8"/>
  <c r="U45" i="8"/>
  <c r="I45" i="8"/>
  <c r="J45" i="8"/>
  <c r="M45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3" i="8"/>
  <c r="C10" i="7"/>
  <c r="E45" i="8"/>
  <c r="F45" i="8"/>
  <c r="H45" i="8"/>
  <c r="E5" i="7"/>
  <c r="D5" i="7"/>
  <c r="C6" i="7"/>
  <c r="E6" i="7"/>
  <c r="D6" i="7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3" i="8"/>
  <c r="AI69" i="5"/>
  <c r="D45" i="11" l="1"/>
  <c r="R45" i="11"/>
  <c r="S45" i="11"/>
  <c r="M45" i="11"/>
  <c r="O45" i="11"/>
  <c r="E45" i="11"/>
  <c r="H45" i="11"/>
  <c r="K44" i="4"/>
  <c r="AC26" i="5"/>
  <c r="I2" i="10" s="1"/>
  <c r="N2" i="10" s="1"/>
  <c r="AC27" i="5"/>
  <c r="I3" i="10" s="1"/>
  <c r="N3" i="10" s="1"/>
  <c r="AC28" i="5"/>
  <c r="I4" i="10" s="1"/>
  <c r="N4" i="10" s="1"/>
  <c r="AC29" i="5"/>
  <c r="I5" i="10" s="1"/>
  <c r="N5" i="10" s="1"/>
  <c r="AC30" i="5"/>
  <c r="I6" i="10" s="1"/>
  <c r="N6" i="10" s="1"/>
  <c r="AC31" i="5"/>
  <c r="I7" i="10" s="1"/>
  <c r="N7" i="10" s="1"/>
  <c r="AC32" i="5"/>
  <c r="I8" i="10" s="1"/>
  <c r="N8" i="10" s="1"/>
  <c r="AC33" i="5"/>
  <c r="I9" i="10" s="1"/>
  <c r="N9" i="10" s="1"/>
  <c r="AC34" i="5"/>
  <c r="I10" i="10" s="1"/>
  <c r="N10" i="10" s="1"/>
  <c r="AB26" i="5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2" i="10"/>
  <c r="P2" i="10"/>
  <c r="K10" i="10" l="1"/>
  <c r="K7" i="10"/>
  <c r="K9" i="10"/>
  <c r="K8" i="10"/>
  <c r="M8" i="10" s="1"/>
  <c r="K5" i="10"/>
  <c r="M5" i="10" s="1"/>
  <c r="K4" i="10"/>
  <c r="M4" i="10" s="1"/>
  <c r="K3" i="10"/>
  <c r="M3" i="10" s="1"/>
  <c r="K6" i="10"/>
  <c r="M6" i="10" s="1"/>
  <c r="K2" i="10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2" i="6"/>
  <c r="D44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2" i="10"/>
  <c r="M7" i="10"/>
  <c r="M9" i="10"/>
  <c r="M10" i="10"/>
  <c r="M2" i="10"/>
  <c r="AC62" i="5"/>
  <c r="AC40" i="5"/>
  <c r="AC42" i="5"/>
  <c r="AC44" i="5"/>
  <c r="AB66" i="5"/>
  <c r="AB61" i="5"/>
  <c r="AB62" i="5"/>
  <c r="AB63" i="5"/>
  <c r="AB64" i="5"/>
  <c r="AB60" i="5"/>
  <c r="AB54" i="5"/>
  <c r="AB52" i="5"/>
  <c r="AB48" i="5"/>
  <c r="AB49" i="5"/>
  <c r="AB47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34" i="5"/>
  <c r="AB30" i="5"/>
  <c r="AB32" i="5"/>
  <c r="AB33" i="5"/>
  <c r="W60" i="5"/>
  <c r="AC60" i="5" s="1"/>
  <c r="W53" i="5"/>
  <c r="W54" i="5"/>
  <c r="W55" i="5"/>
  <c r="W34" i="5"/>
  <c r="AG34" i="5" s="1"/>
  <c r="W27" i="5"/>
  <c r="W35" i="5"/>
  <c r="AC35" i="5" s="1"/>
  <c r="W36" i="5"/>
  <c r="AA36" i="5" s="1"/>
  <c r="W37" i="5"/>
  <c r="AC37" i="5" s="1"/>
  <c r="W28" i="5"/>
  <c r="W56" i="5"/>
  <c r="W38" i="5"/>
  <c r="AC38" i="5" s="1"/>
  <c r="W50" i="5"/>
  <c r="W47" i="5"/>
  <c r="AC47" i="5" s="1"/>
  <c r="W39" i="5"/>
  <c r="AC39" i="5" s="1"/>
  <c r="W61" i="5"/>
  <c r="AC61" i="5" s="1"/>
  <c r="W62" i="5"/>
  <c r="W51" i="5"/>
  <c r="W57" i="5"/>
  <c r="W40" i="5"/>
  <c r="W29" i="5"/>
  <c r="W41" i="5"/>
  <c r="AC41" i="5" s="1"/>
  <c r="W48" i="5"/>
  <c r="AC48" i="5" s="1"/>
  <c r="W58" i="5"/>
  <c r="W65" i="5"/>
  <c r="W30" i="5"/>
  <c r="AA30" i="5" s="1"/>
  <c r="W42" i="5"/>
  <c r="W31" i="5"/>
  <c r="W63" i="5"/>
  <c r="AC63" i="5" s="1"/>
  <c r="W66" i="5"/>
  <c r="W43" i="5"/>
  <c r="AA43" i="5" s="1"/>
  <c r="W67" i="5"/>
  <c r="W32" i="5"/>
  <c r="W64" i="5"/>
  <c r="AA64" i="5" s="1"/>
  <c r="W44" i="5"/>
  <c r="AA44" i="5" s="1"/>
  <c r="W59" i="5"/>
  <c r="W33" i="5"/>
  <c r="W52" i="5"/>
  <c r="W45" i="5"/>
  <c r="AC45" i="5" s="1"/>
  <c r="W49" i="5"/>
  <c r="AA49" i="5" s="1"/>
  <c r="W46" i="5"/>
  <c r="AC46" i="5" s="1"/>
  <c r="W26" i="5"/>
  <c r="C8" i="7"/>
  <c r="C7" i="7"/>
  <c r="C4" i="7"/>
  <c r="C3" i="7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S43" i="6"/>
  <c r="T43" i="6" s="1"/>
  <c r="R43" i="6"/>
  <c r="Q43" i="6"/>
  <c r="T42" i="6"/>
  <c r="S42" i="6"/>
  <c r="R42" i="6"/>
  <c r="Q42" i="6"/>
  <c r="S41" i="6"/>
  <c r="T41" i="6" s="1"/>
  <c r="R41" i="6"/>
  <c r="Q41" i="6"/>
  <c r="T40" i="6"/>
  <c r="S40" i="6"/>
  <c r="R40" i="6"/>
  <c r="Q40" i="6"/>
  <c r="S39" i="6"/>
  <c r="T39" i="6" s="1"/>
  <c r="R39" i="6"/>
  <c r="Q39" i="6"/>
  <c r="T38" i="6"/>
  <c r="S38" i="6"/>
  <c r="R38" i="6"/>
  <c r="Q38" i="6"/>
  <c r="S37" i="6"/>
  <c r="T37" i="6" s="1"/>
  <c r="R37" i="6"/>
  <c r="Q37" i="6"/>
  <c r="T36" i="6"/>
  <c r="S36" i="6"/>
  <c r="R36" i="6"/>
  <c r="Q36" i="6"/>
  <c r="S35" i="6"/>
  <c r="T35" i="6" s="1"/>
  <c r="R35" i="6"/>
  <c r="Q35" i="6"/>
  <c r="T34" i="6"/>
  <c r="S34" i="6"/>
  <c r="R34" i="6"/>
  <c r="Q34" i="6"/>
  <c r="S33" i="6"/>
  <c r="T33" i="6" s="1"/>
  <c r="R33" i="6"/>
  <c r="Q33" i="6"/>
  <c r="T32" i="6"/>
  <c r="S32" i="6"/>
  <c r="R32" i="6"/>
  <c r="Q32" i="6"/>
  <c r="S31" i="6"/>
  <c r="T31" i="6" s="1"/>
  <c r="R31" i="6"/>
  <c r="Q31" i="6"/>
  <c r="T30" i="6"/>
  <c r="S30" i="6"/>
  <c r="R30" i="6"/>
  <c r="Q30" i="6"/>
  <c r="S29" i="6"/>
  <c r="T29" i="6" s="1"/>
  <c r="R29" i="6"/>
  <c r="Q29" i="6"/>
  <c r="T28" i="6"/>
  <c r="S28" i="6"/>
  <c r="R28" i="6"/>
  <c r="Q28" i="6"/>
  <c r="S27" i="6"/>
  <c r="T27" i="6" s="1"/>
  <c r="R27" i="6"/>
  <c r="Q27" i="6"/>
  <c r="T26" i="6"/>
  <c r="S26" i="6"/>
  <c r="R26" i="6"/>
  <c r="Q26" i="6"/>
  <c r="S25" i="6"/>
  <c r="T25" i="6" s="1"/>
  <c r="R25" i="6"/>
  <c r="Q25" i="6"/>
  <c r="T24" i="6"/>
  <c r="S24" i="6"/>
  <c r="R24" i="6"/>
  <c r="Q24" i="6"/>
  <c r="S23" i="6"/>
  <c r="T23" i="6" s="1"/>
  <c r="R23" i="6"/>
  <c r="Q23" i="6"/>
  <c r="T22" i="6"/>
  <c r="S22" i="6"/>
  <c r="R22" i="6"/>
  <c r="Q22" i="6"/>
  <c r="S21" i="6"/>
  <c r="T21" i="6" s="1"/>
  <c r="R21" i="6"/>
  <c r="Q21" i="6"/>
  <c r="T20" i="6"/>
  <c r="S20" i="6"/>
  <c r="R20" i="6"/>
  <c r="Q20" i="6"/>
  <c r="S19" i="6"/>
  <c r="T19" i="6" s="1"/>
  <c r="R19" i="6"/>
  <c r="Q19" i="6"/>
  <c r="T18" i="6"/>
  <c r="S18" i="6"/>
  <c r="R18" i="6"/>
  <c r="Q18" i="6"/>
  <c r="S17" i="6"/>
  <c r="T17" i="6" s="1"/>
  <c r="R17" i="6"/>
  <c r="Q17" i="6"/>
  <c r="T16" i="6"/>
  <c r="S16" i="6"/>
  <c r="R16" i="6"/>
  <c r="Q16" i="6"/>
  <c r="S15" i="6"/>
  <c r="T15" i="6" s="1"/>
  <c r="R15" i="6"/>
  <c r="Q15" i="6"/>
  <c r="T14" i="6"/>
  <c r="S14" i="6"/>
  <c r="R14" i="6"/>
  <c r="Q14" i="6"/>
  <c r="S13" i="6"/>
  <c r="T13" i="6" s="1"/>
  <c r="R13" i="6"/>
  <c r="Q13" i="6"/>
  <c r="T12" i="6"/>
  <c r="S12" i="6"/>
  <c r="R12" i="6"/>
  <c r="Q12" i="6"/>
  <c r="S11" i="6"/>
  <c r="T11" i="6" s="1"/>
  <c r="R11" i="6"/>
  <c r="Q11" i="6"/>
  <c r="T10" i="6"/>
  <c r="S10" i="6"/>
  <c r="R10" i="6"/>
  <c r="Q10" i="6"/>
  <c r="S9" i="6"/>
  <c r="T9" i="6" s="1"/>
  <c r="R9" i="6"/>
  <c r="Q9" i="6"/>
  <c r="T8" i="6"/>
  <c r="S8" i="6"/>
  <c r="R8" i="6"/>
  <c r="Q8" i="6"/>
  <c r="S7" i="6"/>
  <c r="T7" i="6" s="1"/>
  <c r="R7" i="6"/>
  <c r="Q7" i="6"/>
  <c r="S6" i="6"/>
  <c r="T6" i="6" s="1"/>
  <c r="R6" i="6"/>
  <c r="Q6" i="6"/>
  <c r="S5" i="6"/>
  <c r="T5" i="6" s="1"/>
  <c r="R5" i="6"/>
  <c r="Q5" i="6"/>
  <c r="S4" i="6"/>
  <c r="T4" i="6" s="1"/>
  <c r="R4" i="6"/>
  <c r="Q4" i="6"/>
  <c r="S3" i="6"/>
  <c r="T3" i="6" s="1"/>
  <c r="R3" i="6"/>
  <c r="Q3" i="6"/>
  <c r="S2" i="6"/>
  <c r="T2" i="6" s="1"/>
  <c r="R2" i="6"/>
  <c r="Q2" i="6"/>
  <c r="I128" i="5"/>
  <c r="O126" i="5"/>
  <c r="N126" i="5"/>
  <c r="M126" i="5"/>
  <c r="L126" i="5"/>
  <c r="K126" i="5"/>
  <c r="J126" i="5"/>
  <c r="I126" i="5"/>
  <c r="O123" i="5"/>
  <c r="N123" i="5"/>
  <c r="M123" i="5"/>
  <c r="L123" i="5"/>
  <c r="K123" i="5"/>
  <c r="J123" i="5"/>
  <c r="I123" i="5"/>
  <c r="Z49" i="5"/>
  <c r="AA33" i="5"/>
  <c r="Z59" i="5"/>
  <c r="Z67" i="5"/>
  <c r="AA63" i="5"/>
  <c r="AA31" i="5"/>
  <c r="Z31" i="5"/>
  <c r="Z58" i="5"/>
  <c r="Z40" i="5"/>
  <c r="Z61" i="5"/>
  <c r="Z38" i="5"/>
  <c r="Z36" i="5"/>
  <c r="Z55" i="5"/>
  <c r="AK26" i="5"/>
  <c r="AK25" i="5"/>
  <c r="C2" i="5"/>
  <c r="X47" i="3"/>
  <c r="W47" i="3"/>
  <c r="V47" i="3"/>
  <c r="O47" i="3"/>
  <c r="J47" i="3"/>
  <c r="I47" i="3"/>
  <c r="H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O124" i="5"/>
  <c r="K124" i="5"/>
  <c r="L124" i="5"/>
  <c r="N124" i="5"/>
  <c r="I124" i="5"/>
  <c r="M124" i="5"/>
  <c r="J124" i="5"/>
  <c r="AG61" i="5" l="1"/>
  <c r="I37" i="10"/>
  <c r="AG47" i="5"/>
  <c r="I23" i="10"/>
  <c r="AG45" i="5"/>
  <c r="I21" i="10"/>
  <c r="AG39" i="5"/>
  <c r="I15" i="10"/>
  <c r="AG41" i="5"/>
  <c r="I17" i="10"/>
  <c r="AG33" i="5"/>
  <c r="AG42" i="5"/>
  <c r="I18" i="10"/>
  <c r="AG63" i="5"/>
  <c r="I39" i="10"/>
  <c r="AG40" i="5"/>
  <c r="I16" i="10"/>
  <c r="AG35" i="5"/>
  <c r="I11" i="10"/>
  <c r="AG44" i="5"/>
  <c r="I20" i="10"/>
  <c r="AG38" i="5"/>
  <c r="I14" i="10"/>
  <c r="AG62" i="5"/>
  <c r="I38" i="10"/>
  <c r="AG48" i="5"/>
  <c r="I24" i="10"/>
  <c r="AG46" i="5"/>
  <c r="I22" i="10"/>
  <c r="AG32" i="5"/>
  <c r="AG37" i="5"/>
  <c r="I13" i="10"/>
  <c r="AG60" i="5"/>
  <c r="I36" i="10"/>
  <c r="G45" i="8"/>
  <c r="O8" i="8"/>
  <c r="AC59" i="5"/>
  <c r="AC36" i="5"/>
  <c r="AC64" i="5"/>
  <c r="AB65" i="5"/>
  <c r="AC66" i="5"/>
  <c r="AG30" i="5"/>
  <c r="AC43" i="5"/>
  <c r="AB67" i="5"/>
  <c r="Z51" i="5"/>
  <c r="AB55" i="5"/>
  <c r="AC55" i="5"/>
  <c r="AA34" i="5"/>
  <c r="AA58" i="5"/>
  <c r="AE58" i="5" s="1"/>
  <c r="AH58" i="5" s="1"/>
  <c r="AA26" i="5"/>
  <c r="AA27" i="5"/>
  <c r="AA38" i="5"/>
  <c r="AE38" i="5" s="1"/>
  <c r="AH38" i="5" s="1"/>
  <c r="AA57" i="5"/>
  <c r="AA35" i="5"/>
  <c r="AA45" i="5"/>
  <c r="AA54" i="5"/>
  <c r="AA37" i="5"/>
  <c r="AA41" i="5"/>
  <c r="AA61" i="5"/>
  <c r="AE61" i="5" s="1"/>
  <c r="AH61" i="5" s="1"/>
  <c r="AA48" i="5"/>
  <c r="AA55" i="5"/>
  <c r="AE55" i="5" s="1"/>
  <c r="AH55" i="5" s="1"/>
  <c r="AA56" i="5"/>
  <c r="AA62" i="5"/>
  <c r="AA66" i="5"/>
  <c r="AA59" i="5"/>
  <c r="AE59" i="5" s="1"/>
  <c r="AH59" i="5" s="1"/>
  <c r="AA47" i="5"/>
  <c r="AA42" i="5"/>
  <c r="Z52" i="5"/>
  <c r="AC49" i="5"/>
  <c r="AA60" i="5"/>
  <c r="AA40" i="5"/>
  <c r="AE40" i="5" s="1"/>
  <c r="AH40" i="5" s="1"/>
  <c r="AA32" i="5"/>
  <c r="AA39" i="5"/>
  <c r="AA29" i="5"/>
  <c r="AB50" i="5"/>
  <c r="AA46" i="5"/>
  <c r="AG26" i="5"/>
  <c r="AB51" i="5"/>
  <c r="Z60" i="5"/>
  <c r="Z34" i="5"/>
  <c r="AE34" i="5" s="1"/>
  <c r="AH34" i="5" s="1"/>
  <c r="Z37" i="5"/>
  <c r="Z50" i="5"/>
  <c r="Z62" i="5"/>
  <c r="Z29" i="5"/>
  <c r="Z65" i="5"/>
  <c r="Z63" i="5"/>
  <c r="AE63" i="5" s="1"/>
  <c r="AH63" i="5" s="1"/>
  <c r="Z32" i="5"/>
  <c r="Z33" i="5"/>
  <c r="AE33" i="5" s="1"/>
  <c r="AH33" i="5" s="1"/>
  <c r="Z46" i="5"/>
  <c r="AB31" i="5"/>
  <c r="AG31" i="5" s="1"/>
  <c r="AB53" i="5"/>
  <c r="AB59" i="5"/>
  <c r="Z53" i="5"/>
  <c r="Z27" i="5"/>
  <c r="Z28" i="5"/>
  <c r="Z47" i="5"/>
  <c r="Z41" i="5"/>
  <c r="Z30" i="5"/>
  <c r="AE30" i="5" s="1"/>
  <c r="AH30" i="5" s="1"/>
  <c r="Z66" i="5"/>
  <c r="Z64" i="5"/>
  <c r="AE64" i="5" s="1"/>
  <c r="AH64" i="5" s="1"/>
  <c r="AB29" i="5"/>
  <c r="AG29" i="5" s="1"/>
  <c r="AB58" i="5"/>
  <c r="AB28" i="5"/>
  <c r="AB57" i="5"/>
  <c r="Z54" i="5"/>
  <c r="Z35" i="5"/>
  <c r="Z56" i="5"/>
  <c r="Z39" i="5"/>
  <c r="Z57" i="5"/>
  <c r="AE57" i="5" s="1"/>
  <c r="AH57" i="5" s="1"/>
  <c r="Z48" i="5"/>
  <c r="Z42" i="5"/>
  <c r="Z43" i="5"/>
  <c r="AE43" i="5" s="1"/>
  <c r="AH43" i="5" s="1"/>
  <c r="Z44" i="5"/>
  <c r="AE44" i="5" s="1"/>
  <c r="AH44" i="5" s="1"/>
  <c r="Z45" i="5"/>
  <c r="AB27" i="5"/>
  <c r="AG27" i="5" s="1"/>
  <c r="AB56" i="5"/>
  <c r="Z26" i="5"/>
  <c r="I125" i="5"/>
  <c r="AE31" i="5"/>
  <c r="AH31" i="5" s="1"/>
  <c r="AE36" i="5"/>
  <c r="AH36" i="5" s="1"/>
  <c r="AE49" i="5"/>
  <c r="AH49" i="5" s="1"/>
  <c r="AE54" i="5" l="1"/>
  <c r="AH54" i="5" s="1"/>
  <c r="AE27" i="5"/>
  <c r="AE47" i="5"/>
  <c r="AH47" i="5" s="1"/>
  <c r="AE48" i="5"/>
  <c r="AH48" i="5" s="1"/>
  <c r="N20" i="10"/>
  <c r="K20" i="10"/>
  <c r="M20" i="10" s="1"/>
  <c r="N18" i="10"/>
  <c r="K18" i="10"/>
  <c r="M18" i="10" s="1"/>
  <c r="AE46" i="5"/>
  <c r="AH46" i="5" s="1"/>
  <c r="AG49" i="5"/>
  <c r="I25" i="10"/>
  <c r="AG64" i="5"/>
  <c r="I40" i="10"/>
  <c r="N14" i="10"/>
  <c r="K14" i="10"/>
  <c r="M14" i="10" s="1"/>
  <c r="N15" i="10"/>
  <c r="K15" i="10"/>
  <c r="M15" i="10" s="1"/>
  <c r="AG36" i="5"/>
  <c r="I12" i="10"/>
  <c r="N22" i="10"/>
  <c r="K22" i="10"/>
  <c r="M22" i="10" s="1"/>
  <c r="N24" i="10"/>
  <c r="K24" i="10"/>
  <c r="M24" i="10" s="1"/>
  <c r="N36" i="10"/>
  <c r="K36" i="10"/>
  <c r="M36" i="10" s="1"/>
  <c r="N11" i="10"/>
  <c r="K11" i="10"/>
  <c r="M11" i="10" s="1"/>
  <c r="N21" i="10"/>
  <c r="K21" i="10"/>
  <c r="M21" i="10" s="1"/>
  <c r="AG43" i="5"/>
  <c r="I19" i="10"/>
  <c r="N17" i="10"/>
  <c r="K17" i="10"/>
  <c r="M17" i="10" s="1"/>
  <c r="N37" i="10"/>
  <c r="K37" i="10"/>
  <c r="M37" i="10" s="1"/>
  <c r="N39" i="10"/>
  <c r="K39" i="10"/>
  <c r="M39" i="10" s="1"/>
  <c r="AG59" i="5"/>
  <c r="I35" i="10"/>
  <c r="N23" i="10"/>
  <c r="K23" i="10"/>
  <c r="M23" i="10" s="1"/>
  <c r="AE42" i="5"/>
  <c r="AH42" i="5" s="1"/>
  <c r="AG66" i="5"/>
  <c r="I42" i="10"/>
  <c r="N38" i="10"/>
  <c r="K38" i="10"/>
  <c r="M38" i="10" s="1"/>
  <c r="AE60" i="5"/>
  <c r="AH60" i="5" s="1"/>
  <c r="AG55" i="5"/>
  <c r="I31" i="10"/>
  <c r="N13" i="10"/>
  <c r="K13" i="10"/>
  <c r="M13" i="10" s="1"/>
  <c r="N16" i="10"/>
  <c r="K16" i="10"/>
  <c r="M16" i="10" s="1"/>
  <c r="O19" i="8"/>
  <c r="O42" i="8"/>
  <c r="O23" i="8"/>
  <c r="O43" i="8"/>
  <c r="O34" i="8"/>
  <c r="O10" i="8"/>
  <c r="Q8" i="8"/>
  <c r="J8" i="8"/>
  <c r="J19" i="8"/>
  <c r="Q19" i="8"/>
  <c r="J23" i="8"/>
  <c r="Q23" i="8"/>
  <c r="Q30" i="8"/>
  <c r="Q43" i="8"/>
  <c r="J43" i="8"/>
  <c r="J15" i="8"/>
  <c r="J42" i="8"/>
  <c r="Q42" i="8"/>
  <c r="J34" i="8"/>
  <c r="Q34" i="8"/>
  <c r="Q13" i="8"/>
  <c r="J10" i="8"/>
  <c r="O44" i="8"/>
  <c r="O17" i="8"/>
  <c r="O36" i="8"/>
  <c r="O29" i="8"/>
  <c r="O41" i="8"/>
  <c r="O28" i="8"/>
  <c r="O40" i="8"/>
  <c r="O4" i="8"/>
  <c r="O21" i="8"/>
  <c r="O9" i="8"/>
  <c r="O39" i="8"/>
  <c r="O12" i="8"/>
  <c r="O16" i="8"/>
  <c r="O27" i="8"/>
  <c r="O5" i="8"/>
  <c r="O24" i="8"/>
  <c r="O31" i="8"/>
  <c r="O35" i="8"/>
  <c r="O38" i="8"/>
  <c r="O20" i="8"/>
  <c r="AE56" i="5"/>
  <c r="AH56" i="5" s="1"/>
  <c r="AE66" i="5"/>
  <c r="AE62" i="5"/>
  <c r="AH62" i="5" s="1"/>
  <c r="AE32" i="5"/>
  <c r="AH32" i="5" s="1"/>
  <c r="AE45" i="5"/>
  <c r="AH45" i="5" s="1"/>
  <c r="AE35" i="5"/>
  <c r="AH35" i="5" s="1"/>
  <c r="AH26" i="5"/>
  <c r="AA28" i="5"/>
  <c r="AE28" i="5" s="1"/>
  <c r="AH28" i="5" s="1"/>
  <c r="AG28" i="5"/>
  <c r="AC51" i="5"/>
  <c r="AA51" i="5"/>
  <c r="AE51" i="5" s="1"/>
  <c r="AH51" i="5" s="1"/>
  <c r="AE39" i="5"/>
  <c r="AH39" i="5" s="1"/>
  <c r="AE29" i="5"/>
  <c r="AH29" i="5" s="1"/>
  <c r="AC50" i="5"/>
  <c r="AA50" i="5"/>
  <c r="AE50" i="5" s="1"/>
  <c r="AH50" i="5" s="1"/>
  <c r="AC67" i="5"/>
  <c r="AA67" i="5"/>
  <c r="AE67" i="5" s="1"/>
  <c r="AH67" i="5" s="1"/>
  <c r="AA53" i="5"/>
  <c r="AE53" i="5" s="1"/>
  <c r="AH53" i="5" s="1"/>
  <c r="AC56" i="5"/>
  <c r="AC57" i="5"/>
  <c r="AC53" i="5"/>
  <c r="AC58" i="5"/>
  <c r="AE41" i="5"/>
  <c r="AH41" i="5" s="1"/>
  <c r="AE37" i="5"/>
  <c r="AH37" i="5" s="1"/>
  <c r="AC52" i="5"/>
  <c r="AA52" i="5"/>
  <c r="AE52" i="5" s="1"/>
  <c r="AH52" i="5" s="1"/>
  <c r="AC65" i="5"/>
  <c r="AA65" i="5"/>
  <c r="AE65" i="5" s="1"/>
  <c r="AH65" i="5" s="1"/>
  <c r="AC54" i="5"/>
  <c r="Z68" i="5"/>
  <c r="AH27" i="5" l="1"/>
  <c r="AH70" i="5"/>
  <c r="AF66" i="5"/>
  <c r="M42" i="4" s="1"/>
  <c r="N42" i="4" s="1"/>
  <c r="AH66" i="5"/>
  <c r="AG57" i="5"/>
  <c r="I33" i="10"/>
  <c r="AG54" i="5"/>
  <c r="I30" i="10"/>
  <c r="AG53" i="5"/>
  <c r="I29" i="10"/>
  <c r="N42" i="10"/>
  <c r="K42" i="10"/>
  <c r="M42" i="10" s="1"/>
  <c r="AG65" i="5"/>
  <c r="I41" i="10"/>
  <c r="N25" i="10"/>
  <c r="K25" i="10"/>
  <c r="M25" i="10" s="1"/>
  <c r="AG51" i="5"/>
  <c r="I27" i="10"/>
  <c r="N35" i="10"/>
  <c r="K35" i="10"/>
  <c r="M35" i="10" s="1"/>
  <c r="N19" i="10"/>
  <c r="K19" i="10"/>
  <c r="M19" i="10" s="1"/>
  <c r="N12" i="10"/>
  <c r="K12" i="10"/>
  <c r="M12" i="10" s="1"/>
  <c r="AG56" i="5"/>
  <c r="I32" i="10"/>
  <c r="N31" i="10"/>
  <c r="K31" i="10"/>
  <c r="M31" i="10" s="1"/>
  <c r="AG52" i="5"/>
  <c r="I28" i="10"/>
  <c r="AG67" i="5"/>
  <c r="I43" i="10"/>
  <c r="AG58" i="5"/>
  <c r="I34" i="10"/>
  <c r="AG50" i="5"/>
  <c r="I26" i="10"/>
  <c r="N40" i="10"/>
  <c r="K40" i="10"/>
  <c r="M40" i="10" s="1"/>
  <c r="Q10" i="8"/>
  <c r="J14" i="8"/>
  <c r="O14" i="8"/>
  <c r="J7" i="8"/>
  <c r="O7" i="8"/>
  <c r="J32" i="8"/>
  <c r="O32" i="8"/>
  <c r="J22" i="8"/>
  <c r="O22" i="8"/>
  <c r="Q18" i="8"/>
  <c r="O18" i="8"/>
  <c r="J33" i="8"/>
  <c r="O33" i="8"/>
  <c r="J25" i="8"/>
  <c r="O25" i="8"/>
  <c r="J26" i="8"/>
  <c r="O26" i="8"/>
  <c r="J30" i="8"/>
  <c r="O30" i="8"/>
  <c r="Q37" i="8"/>
  <c r="O37" i="8"/>
  <c r="J11" i="8"/>
  <c r="O11" i="8"/>
  <c r="Q15" i="8"/>
  <c r="O15" i="8"/>
  <c r="J6" i="8"/>
  <c r="O6" i="8"/>
  <c r="J13" i="8"/>
  <c r="O13" i="8"/>
  <c r="J3" i="8"/>
  <c r="O3" i="8"/>
  <c r="J18" i="8"/>
  <c r="Q7" i="8"/>
  <c r="Q25" i="8"/>
  <c r="J37" i="8"/>
  <c r="Q14" i="8"/>
  <c r="Q32" i="8"/>
  <c r="Q33" i="8"/>
  <c r="Q26" i="8"/>
  <c r="Q11" i="8"/>
  <c r="Q6" i="8"/>
  <c r="Q22" i="8"/>
  <c r="J27" i="8"/>
  <c r="Q27" i="8"/>
  <c r="Q28" i="8"/>
  <c r="J28" i="8"/>
  <c r="J16" i="8"/>
  <c r="Q16" i="8"/>
  <c r="Q3" i="8"/>
  <c r="Q29" i="8"/>
  <c r="J29" i="8"/>
  <c r="J38" i="8"/>
  <c r="Q38" i="8"/>
  <c r="Q36" i="8"/>
  <c r="J36" i="8"/>
  <c r="J9" i="8"/>
  <c r="Q9" i="8"/>
  <c r="J17" i="8"/>
  <c r="Q17" i="8"/>
  <c r="J31" i="8"/>
  <c r="Q31" i="8"/>
  <c r="Q44" i="8"/>
  <c r="J44" i="8"/>
  <c r="Q4" i="8"/>
  <c r="J4" i="8"/>
  <c r="Q20" i="8"/>
  <c r="J20" i="8"/>
  <c r="J41" i="8"/>
  <c r="Q41" i="8"/>
  <c r="Q12" i="8"/>
  <c r="J12" i="8"/>
  <c r="J39" i="8"/>
  <c r="Q39" i="8"/>
  <c r="J35" i="8"/>
  <c r="Q35" i="8"/>
  <c r="Q21" i="8"/>
  <c r="J21" i="8"/>
  <c r="Q24" i="8"/>
  <c r="J24" i="8"/>
  <c r="Q5" i="8"/>
  <c r="J5" i="8"/>
  <c r="J40" i="8"/>
  <c r="Q40" i="8"/>
  <c r="AF33" i="5"/>
  <c r="M9" i="4" s="1"/>
  <c r="N9" i="4" s="1"/>
  <c r="AF44" i="5"/>
  <c r="M20" i="4" s="1"/>
  <c r="N20" i="4" s="1"/>
  <c r="AF28" i="5"/>
  <c r="M4" i="4" s="1"/>
  <c r="N4" i="4" s="1"/>
  <c r="AF27" i="5"/>
  <c r="M3" i="4" s="1"/>
  <c r="N3" i="4" s="1"/>
  <c r="AF26" i="5"/>
  <c r="M2" i="4" s="1"/>
  <c r="N2" i="4" s="1"/>
  <c r="AF62" i="5"/>
  <c r="M38" i="4" s="1"/>
  <c r="N38" i="4" s="1"/>
  <c r="AF40" i="5"/>
  <c r="M16" i="4" s="1"/>
  <c r="N16" i="4" s="1"/>
  <c r="AF61" i="5"/>
  <c r="M37" i="4" s="1"/>
  <c r="N37" i="4" s="1"/>
  <c r="AF48" i="5"/>
  <c r="M24" i="4" s="1"/>
  <c r="N24" i="4" s="1"/>
  <c r="AF55" i="5"/>
  <c r="M31" i="4" s="1"/>
  <c r="N31" i="4" s="1"/>
  <c r="AF59" i="5"/>
  <c r="M35" i="4" s="1"/>
  <c r="N35" i="4" s="1"/>
  <c r="AF64" i="5"/>
  <c r="M40" i="4" s="1"/>
  <c r="N40" i="4" s="1"/>
  <c r="AF57" i="5"/>
  <c r="M33" i="4" s="1"/>
  <c r="N33" i="4" s="1"/>
  <c r="AF52" i="5"/>
  <c r="M28" i="4" s="1"/>
  <c r="N28" i="4" s="1"/>
  <c r="AF42" i="5"/>
  <c r="M18" i="4" s="1"/>
  <c r="N18" i="4" s="1"/>
  <c r="AF60" i="5"/>
  <c r="M36" i="4" s="1"/>
  <c r="N36" i="4" s="1"/>
  <c r="AF58" i="5"/>
  <c r="M34" i="4" s="1"/>
  <c r="N34" i="4" s="1"/>
  <c r="AF31" i="5"/>
  <c r="M7" i="4" s="1"/>
  <c r="N7" i="4" s="1"/>
  <c r="AF45" i="5"/>
  <c r="M21" i="4" s="1"/>
  <c r="N21" i="4" s="1"/>
  <c r="AF63" i="5"/>
  <c r="M39" i="4" s="1"/>
  <c r="N39" i="4" s="1"/>
  <c r="AF39" i="5"/>
  <c r="M15" i="4" s="1"/>
  <c r="N15" i="4" s="1"/>
  <c r="AF29" i="5"/>
  <c r="M5" i="4" s="1"/>
  <c r="N5" i="4" s="1"/>
  <c r="AF47" i="5"/>
  <c r="M23" i="4" s="1"/>
  <c r="N23" i="4" s="1"/>
  <c r="AF30" i="5"/>
  <c r="M6" i="4" s="1"/>
  <c r="N6" i="4" s="1"/>
  <c r="AF56" i="5"/>
  <c r="M32" i="4" s="1"/>
  <c r="N32" i="4" s="1"/>
  <c r="AF32" i="5"/>
  <c r="M8" i="4" s="1"/>
  <c r="N8" i="4" s="1"/>
  <c r="AF50" i="5"/>
  <c r="M26" i="4" s="1"/>
  <c r="N26" i="4" s="1"/>
  <c r="AF36" i="5"/>
  <c r="M12" i="4" s="1"/>
  <c r="N12" i="4" s="1"/>
  <c r="AF65" i="5"/>
  <c r="M41" i="4" s="1"/>
  <c r="N41" i="4" s="1"/>
  <c r="AF43" i="5"/>
  <c r="M19" i="4" s="1"/>
  <c r="N19" i="4" s="1"/>
  <c r="AF41" i="5"/>
  <c r="M17" i="4" s="1"/>
  <c r="N17" i="4" s="1"/>
  <c r="AF49" i="5"/>
  <c r="M25" i="4" s="1"/>
  <c r="N25" i="4" s="1"/>
  <c r="AF37" i="5"/>
  <c r="M13" i="4" s="1"/>
  <c r="N13" i="4" s="1"/>
  <c r="AF34" i="5"/>
  <c r="M10" i="4" s="1"/>
  <c r="N10" i="4" s="1"/>
  <c r="AF35" i="5"/>
  <c r="M11" i="4" s="1"/>
  <c r="N11" i="4" s="1"/>
  <c r="AF46" i="5"/>
  <c r="M22" i="4" s="1"/>
  <c r="N22" i="4" s="1"/>
  <c r="AF38" i="5"/>
  <c r="M14" i="4" s="1"/>
  <c r="N14" i="4" s="1"/>
  <c r="AF54" i="5"/>
  <c r="M30" i="4" s="1"/>
  <c r="N30" i="4" s="1"/>
  <c r="AF53" i="5"/>
  <c r="M29" i="4" s="1"/>
  <c r="N29" i="4" s="1"/>
  <c r="AF51" i="5"/>
  <c r="M27" i="4" s="1"/>
  <c r="N27" i="4" s="1"/>
  <c r="AF67" i="5"/>
  <c r="M43" i="4" s="1"/>
  <c r="N43" i="4" s="1"/>
  <c r="N26" i="10" l="1"/>
  <c r="K26" i="10"/>
  <c r="M26" i="10" s="1"/>
  <c r="N34" i="10"/>
  <c r="K34" i="10"/>
  <c r="M34" i="10" s="1"/>
  <c r="N32" i="10"/>
  <c r="K32" i="10"/>
  <c r="M32" i="10" s="1"/>
  <c r="N27" i="10"/>
  <c r="K27" i="10"/>
  <c r="M27" i="10" s="1"/>
  <c r="N29" i="10"/>
  <c r="K29" i="10"/>
  <c r="M29" i="10" s="1"/>
  <c r="N43" i="10"/>
  <c r="K43" i="10"/>
  <c r="M43" i="10" s="1"/>
  <c r="N30" i="10"/>
  <c r="K30" i="10"/>
  <c r="M30" i="10" s="1"/>
  <c r="N28" i="10"/>
  <c r="K28" i="10"/>
  <c r="M28" i="10" s="1"/>
  <c r="N41" i="10"/>
  <c r="K41" i="10"/>
  <c r="M41" i="10" s="1"/>
  <c r="N33" i="10"/>
  <c r="K33" i="10"/>
  <c r="M33" i="10" s="1"/>
  <c r="L45" i="8"/>
  <c r="L3" i="8"/>
  <c r="S45" i="8"/>
  <c r="S3" i="8"/>
  <c r="S22" i="8"/>
  <c r="K22" i="8"/>
  <c r="L22" i="8"/>
  <c r="L45" i="11"/>
  <c r="L3" i="11"/>
  <c r="Q45" i="11"/>
  <c r="Q3" i="11"/>
  <c r="S10" i="8"/>
  <c r="K10" i="8"/>
  <c r="L10" i="8"/>
  <c r="Q40" i="11"/>
  <c r="I40" i="11"/>
  <c r="J40" i="11"/>
  <c r="L29" i="8"/>
  <c r="K29" i="8"/>
  <c r="S29" i="8"/>
  <c r="J6" i="11"/>
  <c r="I6" i="11"/>
  <c r="Q6" i="11"/>
  <c r="J39" i="11"/>
  <c r="I39" i="11"/>
  <c r="Q39" i="11"/>
  <c r="Q10" i="11"/>
  <c r="I10" i="11"/>
  <c r="J10" i="11"/>
  <c r="J32" i="11"/>
  <c r="I32" i="11"/>
  <c r="Q32" i="11"/>
  <c r="L39" i="8"/>
  <c r="K39" i="8"/>
  <c r="S39" i="8"/>
  <c r="J30" i="11"/>
  <c r="I30" i="11"/>
  <c r="Q30" i="11"/>
  <c r="L31" i="8"/>
  <c r="K31" i="8"/>
  <c r="S31" i="8"/>
  <c r="J36" i="11"/>
  <c r="I36" i="11"/>
  <c r="Q36" i="11"/>
  <c r="J16" i="11"/>
  <c r="I16" i="11"/>
  <c r="Q16" i="11"/>
  <c r="Q9" i="11"/>
  <c r="I9" i="11"/>
  <c r="J9" i="11"/>
  <c r="L9" i="8"/>
  <c r="K9" i="8"/>
  <c r="S9" i="8"/>
  <c r="L34" i="8"/>
  <c r="K34" i="8"/>
  <c r="S34" i="8"/>
  <c r="J31" i="11"/>
  <c r="I31" i="11"/>
  <c r="Q31" i="11"/>
  <c r="L30" i="8"/>
  <c r="K30" i="8"/>
  <c r="S30" i="8"/>
  <c r="J25" i="11"/>
  <c r="I25" i="11"/>
  <c r="Q25" i="11"/>
  <c r="Q15" i="11"/>
  <c r="I15" i="11"/>
  <c r="J15" i="11"/>
  <c r="S11" i="8"/>
  <c r="K11" i="8"/>
  <c r="L11" i="8"/>
  <c r="Q8" i="11"/>
  <c r="I8" i="11"/>
  <c r="J8" i="11"/>
  <c r="Q26" i="11"/>
  <c r="I26" i="11"/>
  <c r="J26" i="11"/>
  <c r="Q38" i="11"/>
  <c r="I38" i="11"/>
  <c r="J38" i="11"/>
  <c r="L19" i="8"/>
  <c r="K19" i="8"/>
  <c r="S19" i="8"/>
  <c r="J13" i="11"/>
  <c r="I13" i="11"/>
  <c r="Q13" i="11"/>
  <c r="L42" i="8"/>
  <c r="K42" i="8"/>
  <c r="S42" i="8"/>
  <c r="S8" i="8"/>
  <c r="K8" i="8"/>
  <c r="L8" i="8"/>
  <c r="S18" i="8"/>
  <c r="K18" i="8"/>
  <c r="L18" i="8"/>
  <c r="J7" i="11"/>
  <c r="I7" i="11"/>
  <c r="Q7" i="11"/>
  <c r="S5" i="8"/>
  <c r="K5" i="8"/>
  <c r="L5" i="8"/>
  <c r="J29" i="11"/>
  <c r="I29" i="11"/>
  <c r="Q29" i="11"/>
  <c r="J42" i="11"/>
  <c r="I42" i="11"/>
  <c r="Q42" i="11"/>
  <c r="S43" i="8"/>
  <c r="K43" i="8"/>
  <c r="L43" i="8"/>
  <c r="J11" i="11"/>
  <c r="I11" i="11"/>
  <c r="Q11" i="11"/>
  <c r="S7" i="8"/>
  <c r="K7" i="8"/>
  <c r="L7" i="8"/>
  <c r="L27" i="8"/>
  <c r="K27" i="8"/>
  <c r="S27" i="8"/>
  <c r="Q14" i="11"/>
  <c r="I14" i="11"/>
  <c r="J14" i="11"/>
  <c r="Q20" i="11"/>
  <c r="I20" i="11"/>
  <c r="J20" i="11"/>
  <c r="Q28" i="11"/>
  <c r="I28" i="11"/>
  <c r="J28" i="11"/>
  <c r="J43" i="11"/>
  <c r="I43" i="11"/>
  <c r="Q43" i="11"/>
  <c r="S20" i="8"/>
  <c r="K20" i="8"/>
  <c r="L20" i="8"/>
  <c r="L41" i="8"/>
  <c r="K41" i="8"/>
  <c r="S41" i="8"/>
  <c r="J19" i="11"/>
  <c r="I19" i="11"/>
  <c r="Q19" i="11"/>
  <c r="Q41" i="11"/>
  <c r="I41" i="11"/>
  <c r="J41" i="11"/>
  <c r="L37" i="8"/>
  <c r="K37" i="8"/>
  <c r="S37" i="8"/>
  <c r="L4" i="8"/>
  <c r="K4" i="8"/>
  <c r="S4" i="8"/>
  <c r="L28" i="8"/>
  <c r="K28" i="8"/>
  <c r="S28" i="8"/>
  <c r="L23" i="8"/>
  <c r="K23" i="8"/>
  <c r="S23" i="8"/>
  <c r="L15" i="8"/>
  <c r="K15" i="8"/>
  <c r="S15" i="8"/>
  <c r="S16" i="8"/>
  <c r="K16" i="8"/>
  <c r="L16" i="8"/>
  <c r="S32" i="8"/>
  <c r="K32" i="8"/>
  <c r="L32" i="8"/>
  <c r="Q33" i="11"/>
  <c r="I33" i="11"/>
  <c r="J33" i="11"/>
  <c r="Q34" i="11"/>
  <c r="I34" i="11"/>
  <c r="J34" i="11"/>
  <c r="J37" i="11"/>
  <c r="I37" i="11"/>
  <c r="Q37" i="11"/>
  <c r="Q18" i="11"/>
  <c r="I18" i="11"/>
  <c r="J18" i="11"/>
  <c r="J17" i="11"/>
  <c r="I17" i="11"/>
  <c r="Q17" i="11"/>
  <c r="S13" i="8"/>
  <c r="K13" i="8"/>
  <c r="L13" i="8"/>
  <c r="S38" i="8"/>
  <c r="K38" i="8"/>
  <c r="L38" i="8"/>
  <c r="S35" i="8"/>
  <c r="K35" i="8"/>
  <c r="L35" i="8"/>
  <c r="L36" i="8"/>
  <c r="K36" i="8"/>
  <c r="S36" i="8"/>
  <c r="L14" i="8"/>
  <c r="K14" i="8"/>
  <c r="S14" i="8"/>
  <c r="L26" i="8"/>
  <c r="K26" i="8"/>
  <c r="S26" i="8"/>
  <c r="J3" i="11"/>
  <c r="J45" i="11"/>
  <c r="L12" i="8"/>
  <c r="K12" i="8"/>
  <c r="S12" i="8"/>
  <c r="L40" i="8"/>
  <c r="K40" i="8"/>
  <c r="S40" i="8"/>
  <c r="J21" i="11"/>
  <c r="I21" i="11"/>
  <c r="Q21" i="11"/>
  <c r="L24" i="8"/>
  <c r="K24" i="8"/>
  <c r="S24" i="8"/>
  <c r="J22" i="11"/>
  <c r="I22" i="11"/>
  <c r="Q22" i="11"/>
  <c r="L44" i="8"/>
  <c r="K44" i="8"/>
  <c r="S44" i="8"/>
  <c r="S6" i="8"/>
  <c r="K6" i="8"/>
  <c r="L6" i="8"/>
  <c r="Q5" i="11"/>
  <c r="I5" i="11"/>
  <c r="J5" i="11"/>
  <c r="L17" i="8"/>
  <c r="K17" i="8"/>
  <c r="S17" i="8"/>
  <c r="L21" i="8"/>
  <c r="K21" i="8"/>
  <c r="S21" i="8"/>
  <c r="Q23" i="11"/>
  <c r="I23" i="11"/>
  <c r="J23" i="11"/>
  <c r="J35" i="11"/>
  <c r="I35" i="11"/>
  <c r="Q35" i="11"/>
  <c r="Q4" i="11"/>
  <c r="I4" i="11"/>
  <c r="J4" i="11"/>
  <c r="S25" i="8"/>
  <c r="K25" i="8"/>
  <c r="L25" i="8"/>
  <c r="J24" i="11"/>
  <c r="I24" i="11"/>
  <c r="Q24" i="11"/>
  <c r="S33" i="8"/>
  <c r="K33" i="8"/>
  <c r="L33" i="8"/>
  <c r="J44" i="11"/>
  <c r="I44" i="11"/>
  <c r="Q44" i="11"/>
  <c r="N45" i="8"/>
  <c r="N3" i="8"/>
  <c r="J27" i="11"/>
  <c r="I27" i="11"/>
  <c r="Q27" i="11"/>
  <c r="Q12" i="11"/>
  <c r="I12" i="11"/>
  <c r="J12" i="11"/>
  <c r="L28" i="11"/>
  <c r="L8" i="11"/>
  <c r="L10" i="11"/>
  <c r="L38" i="11"/>
  <c r="L40" i="11"/>
  <c r="L4" i="11"/>
  <c r="L44" i="11"/>
  <c r="L23" i="11"/>
  <c r="L12" i="11"/>
  <c r="L43" i="11"/>
  <c r="L22" i="11"/>
  <c r="L20" i="11"/>
  <c r="L33" i="11"/>
  <c r="L13" i="11"/>
  <c r="L18" i="11"/>
  <c r="L24" i="11"/>
  <c r="L11" i="11"/>
  <c r="L25" i="11"/>
  <c r="L6" i="11"/>
  <c r="L19" i="11"/>
  <c r="L31" i="11"/>
  <c r="I50" i="11"/>
  <c r="L37" i="11"/>
  <c r="L42" i="11"/>
  <c r="L36" i="11"/>
  <c r="L16" i="11"/>
  <c r="L29" i="11"/>
  <c r="L27" i="11"/>
  <c r="L5" i="11"/>
  <c r="L26" i="11"/>
  <c r="L34" i="11"/>
  <c r="L15" i="11"/>
  <c r="L17" i="11"/>
  <c r="L14" i="11"/>
  <c r="L9" i="11"/>
  <c r="L39" i="11"/>
  <c r="L21" i="11"/>
  <c r="L35" i="11"/>
  <c r="L41" i="11"/>
  <c r="L7" i="11"/>
  <c r="L32" i="11"/>
  <c r="I3" i="11"/>
  <c r="I45" i="11"/>
  <c r="L30" i="11"/>
  <c r="N21" i="8"/>
  <c r="N41" i="8"/>
  <c r="N20" i="8"/>
  <c r="N22" i="8"/>
  <c r="N9" i="8"/>
  <c r="N6" i="8"/>
  <c r="N43" i="8"/>
  <c r="N44" i="8"/>
  <c r="N8" i="8"/>
  <c r="N27" i="8"/>
  <c r="N14" i="8"/>
  <c r="N34" i="8"/>
  <c r="N13" i="8"/>
  <c r="N33" i="8"/>
  <c r="N28" i="8"/>
  <c r="N39" i="8"/>
  <c r="N16" i="8"/>
  <c r="N31" i="8"/>
  <c r="N30" i="8"/>
  <c r="N24" i="8"/>
  <c r="N15" i="8"/>
  <c r="N17" i="8"/>
  <c r="N11" i="8"/>
  <c r="N36" i="8"/>
  <c r="K50" i="8"/>
  <c r="N18" i="8"/>
  <c r="N23" i="8"/>
  <c r="N35" i="8"/>
  <c r="N4" i="8"/>
  <c r="N32" i="8"/>
  <c r="N10" i="8"/>
  <c r="N37" i="8"/>
  <c r="N19" i="8"/>
  <c r="N26" i="8"/>
  <c r="N29" i="8"/>
  <c r="N5" i="8"/>
  <c r="N42" i="8"/>
  <c r="N40" i="8"/>
  <c r="N7" i="8"/>
  <c r="N12" i="8"/>
  <c r="N25" i="8"/>
  <c r="K3" i="8"/>
  <c r="K45" i="8"/>
  <c r="N38" i="8"/>
</calcChain>
</file>

<file path=xl/sharedStrings.xml><?xml version="1.0" encoding="utf-8"?>
<sst xmlns="http://schemas.openxmlformats.org/spreadsheetml/2006/main" count="815" uniqueCount="219">
  <si>
    <t>1 Centro</t>
  </si>
  <si>
    <t>Cajibío</t>
  </si>
  <si>
    <t>El Tambo</t>
  </si>
  <si>
    <t>Morales</t>
  </si>
  <si>
    <t>Piendamó</t>
  </si>
  <si>
    <t>Puracé</t>
  </si>
  <si>
    <t>Silvia</t>
  </si>
  <si>
    <t>Timbío</t>
  </si>
  <si>
    <t>2 Norte</t>
  </si>
  <si>
    <t>Buenos Aires</t>
  </si>
  <si>
    <t>Caloto</t>
  </si>
  <si>
    <t>Corinto</t>
  </si>
  <si>
    <t>Miranda</t>
  </si>
  <si>
    <t>Padilla</t>
  </si>
  <si>
    <t>Puerto Tejada</t>
  </si>
  <si>
    <t>Toribio</t>
  </si>
  <si>
    <t>Caldono</t>
  </si>
  <si>
    <t>3 Oriente</t>
  </si>
  <si>
    <t>Inza</t>
  </si>
  <si>
    <t>Páez</t>
  </si>
  <si>
    <t>Totoró</t>
  </si>
  <si>
    <t>4 Occidente</t>
  </si>
  <si>
    <t>Timbiquí</t>
  </si>
  <si>
    <t>Guapi</t>
  </si>
  <si>
    <t>5 Sur</t>
  </si>
  <si>
    <t>Argelia</t>
  </si>
  <si>
    <t>Balboa</t>
  </si>
  <si>
    <t>Bolívar</t>
  </si>
  <si>
    <t>Patía</t>
  </si>
  <si>
    <t>Florencia</t>
  </si>
  <si>
    <t>Mercaderes</t>
  </si>
  <si>
    <t>Sucre</t>
  </si>
  <si>
    <t>6 Macizo</t>
  </si>
  <si>
    <t>Sotará</t>
  </si>
  <si>
    <t>La Vega</t>
  </si>
  <si>
    <t>Almaguer</t>
  </si>
  <si>
    <t>La Sierra</t>
  </si>
  <si>
    <t>Rosas</t>
  </si>
  <si>
    <t>Piamonte</t>
  </si>
  <si>
    <t>San Sebastián</t>
  </si>
  <si>
    <t>Santa Rosa</t>
  </si>
  <si>
    <t>Municipio</t>
  </si>
  <si>
    <t>Popayán</t>
  </si>
  <si>
    <t>Bolivar</t>
  </si>
  <si>
    <t>Guachene</t>
  </si>
  <si>
    <t>Jambaló</t>
  </si>
  <si>
    <t>López de Micay</t>
  </si>
  <si>
    <t>Santander de Quilichao</t>
  </si>
  <si>
    <t>Suárez</t>
  </si>
  <si>
    <t>Timbio</t>
  </si>
  <si>
    <t>Totoro</t>
  </si>
  <si>
    <t>Villa Rica</t>
  </si>
  <si>
    <t>Paez</t>
  </si>
  <si>
    <t>Sotara</t>
  </si>
  <si>
    <t>Centro</t>
  </si>
  <si>
    <t>Macizo</t>
  </si>
  <si>
    <t>Sur</t>
  </si>
  <si>
    <t>Norte</t>
  </si>
  <si>
    <t>Occidente</t>
  </si>
  <si>
    <t>Oriente</t>
  </si>
  <si>
    <t>TOTAL CNPV 2018</t>
  </si>
  <si>
    <t>Total</t>
  </si>
  <si>
    <t>Total Cabecera Municipal</t>
  </si>
  <si>
    <t>Total Resto Municipal (Centros Poblados y Rural Disperso)</t>
  </si>
  <si>
    <t>Unidades de Vivienda según Condición de Ocupación</t>
  </si>
  <si>
    <t>VIHOPE</t>
  </si>
  <si>
    <t>Código DIVIPOLA</t>
  </si>
  <si>
    <t>NOMBRE DEPARTAMENTO</t>
  </si>
  <si>
    <t>NOMBRE MUNICIPIO</t>
  </si>
  <si>
    <t xml:space="preserve">Unidades de vivienda con personas ausentes </t>
  </si>
  <si>
    <t xml:space="preserve">Unidades de vivienda de uso temporal </t>
  </si>
  <si>
    <t xml:space="preserve">Unidades de vivienda desocupadas </t>
  </si>
  <si>
    <t xml:space="preserve">Unidades de vivienda con personas presentes </t>
  </si>
  <si>
    <t>Unidades de vivienda</t>
  </si>
  <si>
    <t>Hogares</t>
  </si>
  <si>
    <t>Personas</t>
  </si>
  <si>
    <t>19001</t>
  </si>
  <si>
    <t>Cauca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</si>
  <si>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</si>
  <si>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</si>
  <si>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</si>
  <si>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</si>
  <si>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</si>
  <si>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</si>
  <si>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</si>
  <si>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</si>
  <si>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</si>
  <si>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</si>
  <si>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19290</t>
  </si>
  <si>
    <t>19300</t>
  </si>
  <si>
    <t xml:space="preserve">Guachené </t>
  </si>
  <si>
    <t>19318</t>
  </si>
  <si>
    <t>19355</t>
  </si>
  <si>
    <t>Inzá</t>
  </si>
  <si>
    <t>19364</t>
  </si>
  <si>
    <t>19392</t>
  </si>
  <si>
    <t>19397</t>
  </si>
  <si>
    <t>19418</t>
  </si>
  <si>
    <t>López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</si>
  <si>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</si>
  <si>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</si>
  <si>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</si>
  <si>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</si>
  <si>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</si>
  <si>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</si>
  <si>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</si>
  <si>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</si>
  <si>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</si>
  <si>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</si>
  <si>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</si>
  <si>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</si>
  <si>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</si>
  <si>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</si>
  <si>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</si>
  <si>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</si>
  <si>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</si>
  <si>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</si>
  <si>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</si>
  <si>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</si>
  <si>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</si>
  <si>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</si>
  <si>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</si>
  <si>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ID_municipio</t>
  </si>
  <si>
    <t>Index_r</t>
  </si>
  <si>
    <t>Vivienda_ocupadas</t>
  </si>
  <si>
    <t>N_viviendas_Cabecera_2020</t>
  </si>
  <si>
    <t>N_Viviendas_Rural_2020</t>
  </si>
  <si>
    <t>Total_Viviendas_2020</t>
  </si>
  <si>
    <t>Unidad_Total_Vivienda</t>
  </si>
  <si>
    <t>ID_region</t>
  </si>
  <si>
    <t>Region</t>
  </si>
  <si>
    <t>7 Bota caucana</t>
  </si>
  <si>
    <t>N_Corregimientos</t>
  </si>
  <si>
    <t>Cod</t>
  </si>
  <si>
    <t>Región</t>
  </si>
  <si>
    <t>Viviendas</t>
  </si>
  <si>
    <t>%</t>
  </si>
  <si>
    <t>Bota Caucana</t>
  </si>
  <si>
    <t>Etiquetas de fila</t>
  </si>
  <si>
    <t>Total general</t>
  </si>
  <si>
    <t>Etiquetas de columna</t>
  </si>
  <si>
    <t>Cuenta de Municipio</t>
  </si>
  <si>
    <t>Suma de Vivienda_ocupadas</t>
  </si>
  <si>
    <t>Tabla Zona</t>
  </si>
  <si>
    <t>Tabla por Municipio</t>
  </si>
  <si>
    <t>Suma de N_Corregimientos</t>
  </si>
  <si>
    <t>Suma de Unidad_Total_Vivienda</t>
  </si>
  <si>
    <t>Factor Expansion Adjustado</t>
  </si>
  <si>
    <t>Index</t>
  </si>
  <si>
    <t>Prob_Factor_Expansión</t>
  </si>
  <si>
    <t>Varianza</t>
  </si>
  <si>
    <t>Vtotal</t>
  </si>
  <si>
    <t>wh*V(ph)</t>
  </si>
  <si>
    <t>Xbar</t>
  </si>
  <si>
    <t>Prom_Cong</t>
  </si>
  <si>
    <t>Promedio de Vivienda_ocupadas</t>
  </si>
  <si>
    <t>Var de Vivienda_ocupadas</t>
  </si>
  <si>
    <t>N_muestral</t>
  </si>
  <si>
    <t>Nmuestral</t>
  </si>
  <si>
    <t>Cabecera</t>
  </si>
  <si>
    <t>Rural</t>
  </si>
  <si>
    <r>
      <t>2018</t>
    </r>
    <r>
      <rPr>
        <sz val="9"/>
        <rFont val="Arial"/>
        <family val="2"/>
      </rPr>
      <t xml:space="preserve"> </t>
    </r>
    <r>
      <rPr>
        <b/>
        <vertAlign val="superscript"/>
        <sz val="9"/>
        <rFont val="Arial"/>
        <family val="2"/>
      </rPr>
      <t>2</t>
    </r>
  </si>
  <si>
    <t>Prural</t>
  </si>
  <si>
    <t>P_Cabecera</t>
  </si>
  <si>
    <t>P_Rural</t>
  </si>
  <si>
    <t>Pcabecera</t>
  </si>
  <si>
    <t>n</t>
  </si>
  <si>
    <t>Significancia</t>
  </si>
  <si>
    <t>Zcal</t>
  </si>
  <si>
    <t>Sisben</t>
  </si>
  <si>
    <t>NBI</t>
  </si>
  <si>
    <t>SIU</t>
  </si>
  <si>
    <t>varianza</t>
  </si>
  <si>
    <t>Fuestes de Información</t>
  </si>
  <si>
    <t>Promedio</t>
  </si>
  <si>
    <t>DANE (Est. Hogares sin energía)</t>
  </si>
  <si>
    <t>SAEE_CABMUN_18</t>
  </si>
  <si>
    <t>SAEEE_CP_RUR_18</t>
  </si>
  <si>
    <t>SAEE_TOTAL_18</t>
  </si>
  <si>
    <t>VIV_AJU</t>
  </si>
  <si>
    <t>Prop_Adj__int_regin</t>
  </si>
  <si>
    <t>Prob_Adj_ext_Regin</t>
  </si>
  <si>
    <t>Mues_muni</t>
  </si>
  <si>
    <t>Suma de Mues_muni</t>
  </si>
  <si>
    <t>Bota caucana</t>
  </si>
  <si>
    <t>Número de Encuestas</t>
  </si>
  <si>
    <t>Unidades Rurales y Centros Poblados</t>
  </si>
  <si>
    <t xml:space="preserve">Unidades Comerciales </t>
  </si>
  <si>
    <t>Unidades Industriales</t>
  </si>
  <si>
    <t>Factor Expansión</t>
  </si>
  <si>
    <t>Suma de N_Viviendas_Rural_2020</t>
  </si>
  <si>
    <t>P(V|Region)</t>
  </si>
  <si>
    <t>region</t>
  </si>
  <si>
    <t>P(Rural)</t>
  </si>
  <si>
    <t>P(V|Total_V)</t>
  </si>
  <si>
    <t>P(M|total)</t>
  </si>
  <si>
    <t>Fexpa</t>
  </si>
  <si>
    <t>N_encuetas</t>
  </si>
  <si>
    <t>Asignación</t>
  </si>
  <si>
    <t>Representación</t>
  </si>
  <si>
    <t>Vivendas</t>
  </si>
  <si>
    <t>P(Total_V)</t>
  </si>
  <si>
    <t>P(SAEE_adj)</t>
  </si>
  <si>
    <t>P(Fuente_PERS)</t>
  </si>
  <si>
    <t>Referencia_PERS_DANE</t>
  </si>
  <si>
    <t>Asignación_1*</t>
  </si>
  <si>
    <t>* Asignación proporcional al plan de muestreo original.</t>
  </si>
  <si>
    <t>Total_ Asignaicón_0</t>
  </si>
  <si>
    <t>F_expa_Corregido</t>
  </si>
  <si>
    <t>Población</t>
  </si>
  <si>
    <t>Prob_mun</t>
  </si>
  <si>
    <t>F_expa_pob</t>
  </si>
  <si>
    <t>Prob_mues</t>
  </si>
  <si>
    <t>Mediana_PERS_Dane</t>
  </si>
  <si>
    <t>Población Expandida</t>
  </si>
  <si>
    <t>Factor de Expansión</t>
  </si>
  <si>
    <t>factor_x</t>
  </si>
  <si>
    <t>Value 1</t>
  </si>
  <si>
    <t>Value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</si>
</sst>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0.00000"/>
    <numFmt numFmtId="165" formatCode="0.000"/>
    <numFmt numFmtId="166" formatCode="0.0"/>
    <numFmt numFmtId="167" formatCode="0.0%"/>
    <numFmt numFmtId="168" formatCode="0.000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Segoe UI"/>
      <family val="2"/>
      <charset val="204"/>
    </font>
    <font>
      <sz val="9"/>
      <name val="Segoe UI"/>
      <family val="2"/>
      <charset val="204"/>
    </font>
    <font>
      <b/>
      <sz val="9"/>
      <name val="Segoe UI"/>
      <family val="2"/>
    </font>
    <font>
      <sz val="9"/>
      <name val="Segoe UI"/>
      <family val="2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b/>
      <sz val="12"/>
      <name val="Segoe UI"/>
    </font>
    <font>
      <sz val="11"/>
      <name val="Segoe UI"/>
      <family val="2"/>
      <charset val="204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Sitka Smal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8EA9DB"/>
      </bottom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2" fillId="0" borderId="0" applyFill="0" applyBorder="0" applyAlignment="0" applyProtection="0"/>
    <xf numFmtId="41" fontId="1" fillId="0" borderId="0" applyFont="0" applyFill="0" applyBorder="0" applyAlignment="0" applyProtection="0"/>
  </cellStyleXfs>
  <cellXfs count="155">
    <xf numFmtId="0" fontId="0" fillId="0" borderId="0" xfId="0"/>
    <xf numFmtId="0" fontId="0" fillId="0" borderId="1" xfId="0" applyBorder="1"/>
    <xf numFmtId="0" fontId="5" fillId="3" borderId="1" xfId="2" applyFont="1" applyFill="1" applyBorder="1"/>
    <xf numFmtId="0" fontId="6" fillId="0" borderId="0" xfId="2" applyFont="1"/>
    <xf numFmtId="0" fontId="5" fillId="0" borderId="1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166" fontId="6" fillId="0" borderId="10" xfId="2" applyNumberFormat="1" applyFont="1" applyBorder="1" applyAlignment="1">
      <alignment horizontal="center"/>
    </xf>
    <xf numFmtId="166" fontId="6" fillId="0" borderId="0" xfId="2" applyNumberFormat="1" applyFont="1" applyAlignment="1">
      <alignment horizontal="center"/>
    </xf>
    <xf numFmtId="166" fontId="6" fillId="0" borderId="0" xfId="2" applyNumberFormat="1" applyFont="1" applyAlignment="1">
      <alignment horizontal="left"/>
    </xf>
    <xf numFmtId="3" fontId="6" fillId="0" borderId="11" xfId="3" applyNumberFormat="1" applyFont="1" applyFill="1" applyBorder="1" applyAlignment="1"/>
    <xf numFmtId="3" fontId="6" fillId="0" borderId="0" xfId="3" applyNumberFormat="1" applyFont="1" applyFill="1" applyBorder="1" applyAlignment="1"/>
    <xf numFmtId="3" fontId="6" fillId="0" borderId="10" xfId="3" applyNumberFormat="1" applyFont="1" applyFill="1" applyBorder="1" applyAlignment="1"/>
    <xf numFmtId="3" fontId="6" fillId="4" borderId="0" xfId="3" applyNumberFormat="1" applyFont="1" applyFill="1" applyBorder="1" applyAlignment="1"/>
    <xf numFmtId="3" fontId="8" fillId="4" borderId="11" xfId="3" applyNumberFormat="1" applyFont="1" applyFill="1" applyBorder="1" applyAlignment="1"/>
    <xf numFmtId="3" fontId="6" fillId="4" borderId="11" xfId="3" applyNumberFormat="1" applyFont="1" applyFill="1" applyBorder="1" applyAlignment="1"/>
    <xf numFmtId="0" fontId="4" fillId="0" borderId="0" xfId="2"/>
    <xf numFmtId="0" fontId="4" fillId="0" borderId="0" xfId="2" applyAlignment="1">
      <alignment horizontal="left"/>
    </xf>
    <xf numFmtId="3" fontId="7" fillId="4" borderId="0" xfId="3" applyNumberFormat="1" applyFont="1" applyFill="1" applyBorder="1" applyAlignment="1"/>
    <xf numFmtId="3" fontId="7" fillId="0" borderId="0" xfId="3" applyNumberFormat="1" applyFont="1" applyFill="1" applyBorder="1" applyAlignment="1"/>
    <xf numFmtId="3" fontId="9" fillId="4" borderId="0" xfId="2" applyNumberFormat="1" applyFont="1" applyFill="1"/>
    <xf numFmtId="3" fontId="4" fillId="0" borderId="0" xfId="2" applyNumberFormat="1"/>
    <xf numFmtId="165" fontId="0" fillId="0" borderId="0" xfId="0" applyNumberFormat="1"/>
    <xf numFmtId="1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3" fontId="11" fillId="0" borderId="1" xfId="3" applyNumberFormat="1" applyFont="1" applyFill="1" applyBorder="1" applyAlignment="1">
      <alignment horizontal="center" vertical="center"/>
    </xf>
    <xf numFmtId="167" fontId="10" fillId="2" borderId="1" xfId="3" applyNumberFormat="1" applyFont="1" applyFill="1" applyBorder="1" applyAlignment="1">
      <alignment horizontal="center" vertical="center"/>
    </xf>
    <xf numFmtId="167" fontId="10" fillId="0" borderId="1" xfId="3" applyNumberFormat="1" applyFont="1" applyBorder="1" applyAlignment="1">
      <alignment horizontal="center" vertical="center"/>
    </xf>
    <xf numFmtId="167" fontId="10" fillId="4" borderId="1" xfId="3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8" borderId="0" xfId="0" applyFill="1"/>
    <xf numFmtId="165" fontId="0" fillId="8" borderId="0" xfId="0" applyNumberFormat="1" applyFill="1"/>
    <xf numFmtId="0" fontId="3" fillId="9" borderId="2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164" fontId="0" fillId="10" borderId="1" xfId="0" applyNumberFormat="1" applyFill="1" applyBorder="1"/>
    <xf numFmtId="0" fontId="0" fillId="10" borderId="0" xfId="0" applyFill="1"/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9" fontId="0" fillId="10" borderId="1" xfId="1" applyFon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0" fontId="2" fillId="0" borderId="0" xfId="0" applyFont="1"/>
    <xf numFmtId="0" fontId="0" fillId="11" borderId="0" xfId="0" applyFill="1"/>
    <xf numFmtId="0" fontId="0" fillId="5" borderId="0" xfId="0" applyFill="1"/>
    <xf numFmtId="0" fontId="3" fillId="5" borderId="0" xfId="0" applyFont="1" applyFill="1"/>
    <xf numFmtId="1" fontId="0" fillId="10" borderId="0" xfId="0" applyNumberFormat="1" applyFill="1" applyBorder="1" applyAlignment="1">
      <alignment horizontal="center"/>
    </xf>
    <xf numFmtId="1" fontId="13" fillId="12" borderId="12" xfId="4" quotePrefix="1" applyNumberFormat="1" applyFont="1" applyFill="1" applyBorder="1" applyAlignment="1">
      <alignment horizontal="center" vertical="center" wrapText="1"/>
    </xf>
    <xf numFmtId="1" fontId="13" fillId="12" borderId="6" xfId="4" quotePrefix="1" applyNumberFormat="1" applyFont="1" applyFill="1" applyBorder="1" applyAlignment="1">
      <alignment horizontal="center" vertical="center" wrapText="1"/>
    </xf>
    <xf numFmtId="3" fontId="6" fillId="13" borderId="13" xfId="3" applyNumberFormat="1" applyFont="1" applyFill="1" applyBorder="1" applyAlignment="1">
      <alignment horizontal="center" vertical="center"/>
    </xf>
    <xf numFmtId="3" fontId="6" fillId="13" borderId="14" xfId="3" applyNumberFormat="1" applyFont="1" applyFill="1" applyBorder="1" applyAlignment="1">
      <alignment horizontal="center" vertical="center"/>
    </xf>
    <xf numFmtId="3" fontId="6" fillId="0" borderId="15" xfId="3" applyNumberFormat="1" applyFont="1" applyFill="1" applyBorder="1" applyAlignment="1">
      <alignment horizontal="center" vertical="center"/>
    </xf>
    <xf numFmtId="3" fontId="6" fillId="0" borderId="0" xfId="3" applyNumberFormat="1" applyFont="1" applyFill="1" applyBorder="1" applyAlignment="1">
      <alignment horizontal="center" vertical="center"/>
    </xf>
    <xf numFmtId="3" fontId="6" fillId="13" borderId="15" xfId="3" applyNumberFormat="1" applyFont="1" applyFill="1" applyBorder="1" applyAlignment="1">
      <alignment horizontal="center" vertical="center"/>
    </xf>
    <xf numFmtId="3" fontId="6" fillId="13" borderId="0" xfId="3" applyNumberFormat="1" applyFont="1" applyFill="1" applyBorder="1" applyAlignment="1">
      <alignment horizontal="center" vertical="center"/>
    </xf>
    <xf numFmtId="0" fontId="6" fillId="5" borderId="0" xfId="2" applyFont="1" applyFill="1"/>
    <xf numFmtId="1" fontId="15" fillId="0" borderId="0" xfId="2" applyNumberFormat="1" applyFont="1"/>
    <xf numFmtId="9" fontId="16" fillId="0" borderId="0" xfId="1" applyFont="1"/>
    <xf numFmtId="0" fontId="3" fillId="9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vertical="center"/>
    </xf>
    <xf numFmtId="0" fontId="19" fillId="14" borderId="2" xfId="0" applyFont="1" applyFill="1" applyBorder="1" applyAlignment="1">
      <alignment vertical="center" wrapText="1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/>
    <xf numFmtId="9" fontId="0" fillId="0" borderId="1" xfId="1" applyFont="1" applyFill="1" applyBorder="1"/>
    <xf numFmtId="0" fontId="19" fillId="15" borderId="2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 wrapText="1"/>
    </xf>
    <xf numFmtId="0" fontId="19" fillId="16" borderId="2" xfId="0" applyFont="1" applyFill="1" applyBorder="1" applyAlignment="1">
      <alignment vertical="center" wrapText="1"/>
    </xf>
    <xf numFmtId="0" fontId="21" fillId="0" borderId="16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1" fontId="0" fillId="0" borderId="16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17" borderId="17" xfId="0" applyFont="1" applyFill="1" applyBorder="1"/>
    <xf numFmtId="0" fontId="0" fillId="18" borderId="0" xfId="0" applyFill="1"/>
    <xf numFmtId="0" fontId="22" fillId="19" borderId="0" xfId="0" applyFont="1" applyFill="1"/>
    <xf numFmtId="0" fontId="23" fillId="20" borderId="18" xfId="0" applyFont="1" applyFill="1" applyBorder="1"/>
    <xf numFmtId="0" fontId="22" fillId="21" borderId="0" xfId="0" applyFont="1" applyFill="1"/>
    <xf numFmtId="0" fontId="22" fillId="0" borderId="0" xfId="0" applyFont="1"/>
    <xf numFmtId="1" fontId="22" fillId="0" borderId="0" xfId="0" applyNumberFormat="1" applyFont="1"/>
    <xf numFmtId="165" fontId="22" fillId="0" borderId="0" xfId="0" applyNumberFormat="1" applyFont="1"/>
    <xf numFmtId="1" fontId="22" fillId="11" borderId="0" xfId="0" applyNumberFormat="1" applyFont="1" applyFill="1"/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ill="1"/>
    <xf numFmtId="0" fontId="20" fillId="0" borderId="6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2" fontId="24" fillId="0" borderId="0" xfId="0" applyNumberFormat="1" applyFont="1"/>
    <xf numFmtId="3" fontId="6" fillId="13" borderId="19" xfId="3" applyNumberFormat="1" applyFont="1" applyFill="1" applyBorder="1" applyAlignment="1">
      <alignment horizontal="center" vertical="center"/>
    </xf>
    <xf numFmtId="3" fontId="6" fillId="0" borderId="19" xfId="3" applyNumberFormat="1" applyFont="1" applyFill="1" applyBorder="1" applyAlignment="1">
      <alignment horizontal="center" vertical="center"/>
    </xf>
    <xf numFmtId="10" fontId="0" fillId="0" borderId="0" xfId="1" applyNumberFormat="1" applyFont="1"/>
    <xf numFmtId="1" fontId="2" fillId="0" borderId="1" xfId="0" applyNumberFormat="1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1" fontId="26" fillId="0" borderId="16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18" fillId="0" borderId="1" xfId="5" applyNumberFormat="1" applyFont="1" applyBorder="1" applyAlignment="1">
      <alignment horizontal="center" vertical="center"/>
    </xf>
    <xf numFmtId="168" fontId="0" fillId="0" borderId="0" xfId="0" applyNumberFormat="1"/>
    <xf numFmtId="2" fontId="0" fillId="0" borderId="1" xfId="0" applyNumberFormat="1" applyBorder="1"/>
    <xf numFmtId="0" fontId="0" fillId="0" borderId="1" xfId="0" applyFont="1" applyBorder="1" applyAlignment="1">
      <alignment horizontal="center"/>
    </xf>
    <xf numFmtId="1" fontId="21" fillId="0" borderId="16" xfId="0" applyNumberFormat="1" applyFont="1" applyFill="1" applyBorder="1" applyAlignment="1">
      <alignment horizontal="center" vertical="center"/>
    </xf>
    <xf numFmtId="1" fontId="0" fillId="0" borderId="16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/>
    <xf numFmtId="168" fontId="0" fillId="0" borderId="0" xfId="0" applyNumberFormat="1" applyFont="1"/>
    <xf numFmtId="1" fontId="3" fillId="0" borderId="1" xfId="5" applyNumberFormat="1" applyFont="1" applyBorder="1" applyAlignment="1">
      <alignment horizontal="center" vertical="center"/>
    </xf>
    <xf numFmtId="0" fontId="0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/>
    </xf>
    <xf numFmtId="41" fontId="22" fillId="0" borderId="1" xfId="0" applyNumberFormat="1" applyFont="1" applyBorder="1" applyAlignment="1">
      <alignment horizontal="center"/>
    </xf>
    <xf numFmtId="41" fontId="22" fillId="0" borderId="16" xfId="0" applyNumberFormat="1" applyFont="1" applyBorder="1" applyAlignment="1">
      <alignment horizontal="center"/>
    </xf>
    <xf numFmtId="0" fontId="20" fillId="0" borderId="1" xfId="0" applyFont="1" applyBorder="1" applyAlignment="1">
      <alignment vertical="center"/>
    </xf>
    <xf numFmtId="0" fontId="3" fillId="0" borderId="1" xfId="0" applyFont="1" applyBorder="1"/>
    <xf numFmtId="41" fontId="3" fillId="0" borderId="1" xfId="0" applyNumberFormat="1" applyFont="1" applyBorder="1"/>
    <xf numFmtId="0" fontId="5" fillId="3" borderId="1" xfId="2" applyFont="1" applyFill="1" applyBorder="1" applyAlignment="1">
      <alignment horizontal="center"/>
    </xf>
    <xf numFmtId="0" fontId="5" fillId="0" borderId="4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0" fillId="0" borderId="1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0" fillId="0" borderId="0" xfId="0" applyNumberFormat="1"/>
    <xf numFmtId="2" fontId="0" fillId="18" borderId="0" xfId="0" applyNumberFormat="1" applyFill="1"/>
    <xf numFmtId="165" fontId="0" fillId="18" borderId="0" xfId="0" applyNumberFormat="1" applyFill="1"/>
  </cellXfs>
  <cellStyles count="6">
    <cellStyle name="Millares [0]" xfId="5" builtinId="6"/>
    <cellStyle name="Normal" xfId="0" builtinId="0"/>
    <cellStyle name="Normal 2" xfId="2" xr:uid="{00000000-0005-0000-0000-000002000000}"/>
    <cellStyle name="Normal_Censos 1951-1993" xfId="4" xr:uid="{00000000-0005-0000-0000-000003000000}"/>
    <cellStyle name="Porcentaje" xfId="1" builtinId="5"/>
    <cellStyle name="Porcentaje 2" xfId="3" xr:uid="{00000000-0005-0000-0000-000005000000}"/>
  </cellStyles>
  <dxfs count="22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border>
        <top style="thin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numFmt numFmtId="1" formatCode="0"/>
    </dxf>
    <dxf>
      <numFmt numFmtId="166" formatCode="0.0"/>
    </dxf>
    <dxf>
      <numFmt numFmtId="2" formatCode="0.00"/>
    </dxf>
    <dxf>
      <numFmt numFmtId="165" formatCode="0.000"/>
    </dxf>
    <dxf>
      <numFmt numFmtId="168" formatCode="0.0000"/>
    </dxf>
    <dxf>
      <numFmt numFmtId="164" formatCode="0.00000"/>
    </dxf>
    <dxf>
      <numFmt numFmtId="169" formatCode="0.000000"/>
    </dxf>
  </dxfs>
  <tableStyles count="0" defaultTableStyle="TableStyleMedium2" defaultPivotStyle="PivotStyleLight16"/>
  <colors>
    <mruColors>
      <color rgb="FFFF9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596900</xdr:colOff>
      <xdr:row>9</xdr:row>
      <xdr:rowOff>165100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1BC609A-C3D6-FB4A-B1C6-BC61895C4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49900" cy="199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 Eduardo García Bermúdez" refreshedDate="44524.624163541666" createdVersion="7" refreshedVersion="7" minRefreshableVersion="3" recordCount="42" xr:uid="{00000000-000A-0000-FFFF-FFFF00000000}">
  <cacheSource type="worksheet">
    <worksheetSource ref="B1:L43" sheet="Consolidado"/>
  </cacheSource>
  <cacheFields count="11">
    <cacheField name="ID_municipio" numFmtId="0">
      <sharedItems containsSemiMixedTypes="0" containsString="0" containsNumber="1" containsInteger="1" minValue="19001" maxValue="19845" count="42">
        <n v="19001"/>
        <n v="19022"/>
        <n v="19050"/>
        <n v="19075"/>
        <n v="19100"/>
        <n v="19110"/>
        <n v="19130"/>
        <n v="19137"/>
        <n v="19142"/>
        <n v="19212"/>
        <n v="19256"/>
        <n v="19290"/>
        <n v="19300"/>
        <n v="19318"/>
        <n v="19355"/>
        <n v="19364"/>
        <n v="19392"/>
        <n v="19397"/>
        <n v="19418"/>
        <n v="19450"/>
        <n v="19455"/>
        <n v="19473"/>
        <n v="19513"/>
        <n v="19517"/>
        <n v="19532"/>
        <n v="19533"/>
        <n v="19548"/>
        <n v="19573"/>
        <n v="19585"/>
        <n v="19622"/>
        <n v="19693"/>
        <n v="19698"/>
        <n v="19701"/>
        <n v="19743"/>
        <n v="19760"/>
        <n v="19780"/>
        <n v="19785"/>
        <n v="19807"/>
        <n v="19809"/>
        <n v="19821"/>
        <n v="19824"/>
        <n v="19845"/>
      </sharedItems>
    </cacheField>
    <cacheField name="ID_region" numFmtId="0">
      <sharedItems containsSemiMixedTypes="0" containsString="0" containsNumber="1" containsInteger="1" minValue="1" maxValue="7"/>
    </cacheField>
    <cacheField name="Region" numFmtId="0">
      <sharedItems count="7">
        <s v="1 Centro"/>
        <s v="6 Macizo"/>
        <s v="5 Sur"/>
        <s v="2 Norte"/>
        <s v="4 Occidente"/>
        <s v="3 Oriente"/>
        <s v="7 Bota caucana"/>
      </sharedItems>
    </cacheField>
    <cacheField name="Municipio" numFmtId="0">
      <sharedItems count="42">
        <s v="Popayán"/>
        <s v="Almaguer"/>
        <s v="Argelia"/>
        <s v="Balboa"/>
        <s v="Bolivar"/>
        <s v="Buenos Aires"/>
        <s v="Cajibío"/>
        <s v="Caldono"/>
        <s v="Caloto"/>
        <s v="Corinto"/>
        <s v="El Tambo"/>
        <s v="Florencia"/>
        <s v="Guachene"/>
        <s v="Guapi"/>
        <s v="Inza"/>
        <s v="Jambaló"/>
        <s v="La Sierra"/>
        <s v="La Vega"/>
        <s v="López de Micay"/>
        <s v="Mercaderes"/>
        <s v="Miranda"/>
        <s v="Morales"/>
        <s v="Padilla"/>
        <s v="Páez"/>
        <s v="Patía"/>
        <s v="Piamonte"/>
        <s v="Piendamó"/>
        <s v="Puerto Tejada"/>
        <s v="Puracé"/>
        <s v="Rosas"/>
        <s v="San Sebastián"/>
        <s v="Santander de Quilichao"/>
        <s v="Santa Rosa"/>
        <s v="Silvia"/>
        <s v="Sotará"/>
        <s v="Suárez"/>
        <s v="Sucre"/>
        <s v="Timbio"/>
        <s v="Timbiquí"/>
        <s v="Toribio"/>
        <s v="Totoro"/>
        <s v="Villa Rica"/>
      </sharedItems>
    </cacheField>
    <cacheField name="Index_r" numFmtId="9">
      <sharedItems containsSemiMixedTypes="0" containsString="0" containsNumber="1" minValue="0" maxValue="0.60319183180066704"/>
    </cacheField>
    <cacheField name="N_Corregimientos" numFmtId="0">
      <sharedItems containsSemiMixedTypes="0" containsString="0" containsNumber="1" containsInteger="1" minValue="0" maxValue="23" count="18">
        <n v="23"/>
        <n v="9"/>
        <n v="13"/>
        <n v="14"/>
        <n v="8"/>
        <n v="2"/>
        <n v="4"/>
        <n v="5"/>
        <n v="20"/>
        <n v="1"/>
        <n v="0"/>
        <n v="7"/>
        <n v="3"/>
        <n v="12"/>
        <n v="6"/>
        <n v="21"/>
        <n v="22"/>
        <n v="11"/>
      </sharedItems>
    </cacheField>
    <cacheField name="Vivienda_ocupadas" numFmtId="1">
      <sharedItems containsSemiMixedTypes="0" containsString="0" containsNumber="1" containsInteger="1" minValue="1432" maxValue="84936" count="42">
        <n v="84936"/>
        <n v="5219"/>
        <n v="7488"/>
        <n v="6722"/>
        <n v="12670"/>
        <n v="8398"/>
        <n v="9176"/>
        <n v="8201"/>
        <n v="7274"/>
        <n v="7501"/>
        <n v="12629"/>
        <n v="1432"/>
        <n v="5452"/>
        <n v="6157"/>
        <n v="6794"/>
        <n v="3507"/>
        <n v="3078"/>
        <n v="5417"/>
        <n v="3992"/>
        <n v="4761"/>
        <n v="9329"/>
        <n v="8256"/>
        <n v="2877"/>
        <n v="8624"/>
        <n v="8995"/>
        <n v="2172"/>
        <n v="9935"/>
        <n v="12429"/>
        <n v="3657"/>
        <n v="3237"/>
        <n v="2999"/>
        <n v="29001"/>
        <n v="1533"/>
        <n v="7897"/>
        <n v="3514"/>
        <n v="7090"/>
        <n v="2121"/>
        <n v="9296"/>
        <n v="5780"/>
        <n v="7752"/>
        <n v="4169"/>
        <n v="6326"/>
      </sharedItems>
    </cacheField>
    <cacheField name="Unidad_Total_Vivienda" numFmtId="1">
      <sharedItems containsSemiMixedTypes="0" containsString="0" containsNumber="1" containsInteger="1" minValue="1928" maxValue="109402" count="42">
        <n v="109402"/>
        <n v="7068"/>
        <n v="8717"/>
        <n v="8193"/>
        <n v="15456"/>
        <n v="9461"/>
        <n v="12216"/>
        <n v="10382"/>
        <n v="8559"/>
        <n v="9098"/>
        <n v="16847"/>
        <n v="1928"/>
        <n v="6135"/>
        <n v="7046"/>
        <n v="7890"/>
        <n v="3993"/>
        <n v="3603"/>
        <n v="7780"/>
        <n v="4962"/>
        <n v="7116"/>
        <n v="10360"/>
        <n v="11238"/>
        <n v="3336"/>
        <n v="9511"/>
        <n v="11636"/>
        <n v="2815"/>
        <n v="11998"/>
        <n v="13907"/>
        <n v="4211"/>
        <n v="3855"/>
        <n v="4204"/>
        <n v="35751"/>
        <n v="1993"/>
        <n v="9870"/>
        <n v="4574"/>
        <n v="9576"/>
        <n v="2722"/>
        <n v="11607"/>
        <n v="6974"/>
        <n v="8866"/>
        <n v="5586"/>
        <n v="7201"/>
      </sharedItems>
    </cacheField>
    <cacheField name="N_viviendas_Cabecera_2020" numFmtId="1">
      <sharedItems containsSemiMixedTypes="0" containsString="0" containsNumber="1" minValue="199.23992994746061" maxValue="92117.251390863617"/>
    </cacheField>
    <cacheField name="N_Viviendas_Rural_2020" numFmtId="1">
      <sharedItems containsSemiMixedTypes="0" containsString="0" containsNumber="1" minValue="1558.0882352941176" maxValue="19818.364985047963"/>
    </cacheField>
    <cacheField name="Total_Viviendas_2020" numFmtId="1">
      <sharedItems containsSemiMixedTypes="0" containsString="0" containsNumber="1" minValue="1966.4183006535948" maxValue="111935.616375911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Felipe Jimenez Chaves" refreshedDate="44529.573021759257" createdVersion="6" refreshedVersion="6" minRefreshableVersion="3" recordCount="42" xr:uid="{00000000-000A-0000-FFFF-FFFF03000000}">
  <cacheSource type="worksheet">
    <worksheetSource ref="A2:D44" sheet="Hoja1"/>
  </cacheSource>
  <cacheFields count="3">
    <cacheField name="Region" numFmtId="0">
      <sharedItems count="7">
        <s v="1 Centro"/>
        <s v="2 Norte"/>
        <s v="3 Oriente"/>
        <s v="4 Occidente"/>
        <s v="5 Sur"/>
        <s v="6 Macizo"/>
        <s v="7 Bota caucana"/>
      </sharedItems>
    </cacheField>
    <cacheField name="Municipio" numFmtId="0">
      <sharedItems/>
    </cacheField>
    <cacheField name="Mues_muni" numFmtId="1">
      <sharedItems containsSemiMixedTypes="0" containsString="0" containsNumber="1" minValue="0.68955877937785026" maxValue="374.99107619897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n v="1"/>
    <x v="0"/>
    <x v="0"/>
    <n v="0.19238141649065199"/>
    <x v="0"/>
    <x v="0"/>
    <x v="0"/>
    <n v="92117.251390863617"/>
    <n v="19818.364985047963"/>
    <n v="111935.61637591157"/>
  </r>
  <r>
    <x v="1"/>
    <n v="6"/>
    <x v="1"/>
    <x v="1"/>
    <n v="0.30783057613829601"/>
    <x v="1"/>
    <x v="1"/>
    <x v="1"/>
    <n v="629.10846953937585"/>
    <n v="6329.6937379407118"/>
    <n v="6958.8022074800874"/>
  </r>
  <r>
    <x v="2"/>
    <n v="5"/>
    <x v="2"/>
    <x v="2"/>
    <n v="0.60319183180066704"/>
    <x v="2"/>
    <x v="2"/>
    <x v="2"/>
    <n v="951.46037037037036"/>
    <n v="7912.7967923562528"/>
    <n v="8864.2571627266225"/>
  </r>
  <r>
    <x v="3"/>
    <n v="5"/>
    <x v="2"/>
    <x v="3"/>
    <n v="0.327033319685678"/>
    <x v="1"/>
    <x v="3"/>
    <x v="3"/>
    <n v="2038.1531615056556"/>
    <n v="6283.4747056951956"/>
    <n v="8321.6278672008521"/>
  </r>
  <r>
    <x v="4"/>
    <n v="5"/>
    <x v="2"/>
    <x v="4"/>
    <n v="0.329219179632387"/>
    <x v="3"/>
    <x v="4"/>
    <x v="4"/>
    <n v="1795.9609561752986"/>
    <n v="13232.094768075573"/>
    <n v="15028.055724250871"/>
  </r>
  <r>
    <x v="5"/>
    <n v="2"/>
    <x v="3"/>
    <x v="5"/>
    <n v="0.28261295646269002"/>
    <x v="4"/>
    <x v="5"/>
    <x v="5"/>
    <n v="435.4252873563218"/>
    <n v="9208.9261036468324"/>
    <n v="9644.3513910031543"/>
  </r>
  <r>
    <x v="6"/>
    <n v="1"/>
    <x v="0"/>
    <x v="6"/>
    <n v="0.31090988554037902"/>
    <x v="5"/>
    <x v="6"/>
    <x v="6"/>
    <n v="808.56221616712071"/>
    <n v="11642.716768813423"/>
    <n v="12451.278984980543"/>
  </r>
  <r>
    <x v="7"/>
    <n v="2"/>
    <x v="3"/>
    <x v="7"/>
    <n v="0.29195393056199498"/>
    <x v="6"/>
    <x v="7"/>
    <x v="7"/>
    <n v="647.07681692732285"/>
    <n v="10205.392698295034"/>
    <n v="10852.469515222358"/>
  </r>
  <r>
    <x v="8"/>
    <n v="2"/>
    <x v="3"/>
    <x v="8"/>
    <n v="0.26386065106468098"/>
    <x v="7"/>
    <x v="8"/>
    <x v="8"/>
    <n v="2111.1497073815367"/>
    <n v="6459.4098617585605"/>
    <n v="8570.5595691400977"/>
  </r>
  <r>
    <x v="9"/>
    <n v="2"/>
    <x v="3"/>
    <x v="9"/>
    <n v="0.29749618997911503"/>
    <x v="7"/>
    <x v="9"/>
    <x v="9"/>
    <n v="4766.847826086957"/>
    <n v="4368.5458649040784"/>
    <n v="9135.3936909910353"/>
  </r>
  <r>
    <x v="10"/>
    <n v="1"/>
    <x v="0"/>
    <x v="10"/>
    <n v="0.40506636333141005"/>
    <x v="8"/>
    <x v="10"/>
    <x v="10"/>
    <n v="1048.131868131868"/>
    <n v="15761.321215217733"/>
    <n v="16809.453083349603"/>
  </r>
  <r>
    <x v="11"/>
    <n v="5"/>
    <x v="2"/>
    <x v="11"/>
    <n v="0.29471862176479996"/>
    <x v="5"/>
    <x v="11"/>
    <x v="11"/>
    <n v="408.33006535947715"/>
    <n v="1558.0882352941176"/>
    <n v="1966.4183006535948"/>
  </r>
  <r>
    <x v="12"/>
    <n v="2"/>
    <x v="3"/>
    <x v="12"/>
    <n v="0"/>
    <x v="9"/>
    <x v="12"/>
    <x v="12"/>
    <n v="1977.116512345679"/>
    <n v="4266.8690774012584"/>
    <n v="6243.985589746937"/>
  </r>
  <r>
    <x v="13"/>
    <n v="4"/>
    <x v="4"/>
    <x v="13"/>
    <n v="0.41933872644412501"/>
    <x v="10"/>
    <x v="13"/>
    <x v="13"/>
    <n v="4155.7870370370365"/>
    <n v="2910.8493861444026"/>
    <n v="7066.6364231814387"/>
  </r>
  <r>
    <x v="14"/>
    <n v="3"/>
    <x v="5"/>
    <x v="14"/>
    <n v="0.34941643103060005"/>
    <x v="11"/>
    <x v="14"/>
    <x v="14"/>
    <n v="481.26299694189601"/>
    <n v="7559.5400964781829"/>
    <n v="8040.8030934200788"/>
  </r>
  <r>
    <x v="15"/>
    <n v="2"/>
    <x v="3"/>
    <x v="15"/>
    <n v="0.30943648736042301"/>
    <x v="7"/>
    <x v="15"/>
    <x v="15"/>
    <n v="484.27440633245385"/>
    <n v="3670.2275178728205"/>
    <n v="4154.501924205274"/>
  </r>
  <r>
    <x v="16"/>
    <n v="6"/>
    <x v="1"/>
    <x v="16"/>
    <n v="0.32603958546147199"/>
    <x v="12"/>
    <x v="16"/>
    <x v="16"/>
    <n v="747.08122941822182"/>
    <n v="2821.4278032933798"/>
    <n v="3568.5090327116018"/>
  </r>
  <r>
    <x v="17"/>
    <n v="6"/>
    <x v="1"/>
    <x v="17"/>
    <n v="0.31551532433975099"/>
    <x v="13"/>
    <x v="17"/>
    <x v="17"/>
    <n v="525.50480769230762"/>
    <n v="7298.2931247602401"/>
    <n v="7823.7979324525477"/>
  </r>
  <r>
    <x v="18"/>
    <n v="4"/>
    <x v="4"/>
    <x v="18"/>
    <n v="0.47117749068342396"/>
    <x v="12"/>
    <x v="18"/>
    <x v="18"/>
    <n v="593.89440000000002"/>
    <n v="4460.5130200538761"/>
    <n v="5054.4074200538762"/>
  </r>
  <r>
    <x v="19"/>
    <n v="5"/>
    <x v="2"/>
    <x v="19"/>
    <n v="0.373652221836276"/>
    <x v="11"/>
    <x v="19"/>
    <x v="19"/>
    <n v="2049.5205778599025"/>
    <n v="5191.2234837167607"/>
    <n v="7240.7440615766627"/>
  </r>
  <r>
    <x v="20"/>
    <n v="2"/>
    <x v="3"/>
    <x v="20"/>
    <n v="0.24670716749723798"/>
    <x v="12"/>
    <x v="20"/>
    <x v="20"/>
    <n v="6340.9592861126603"/>
    <n v="4254.4623976172743"/>
    <n v="10595.421683729935"/>
  </r>
  <r>
    <x v="21"/>
    <n v="1"/>
    <x v="0"/>
    <x v="21"/>
    <n v="0.32857631389762804"/>
    <x v="14"/>
    <x v="21"/>
    <x v="21"/>
    <n v="1191.5177993527509"/>
    <n v="10390.480063795854"/>
    <n v="11581.997863148605"/>
  </r>
  <r>
    <x v="22"/>
    <n v="2"/>
    <x v="3"/>
    <x v="22"/>
    <n v="0.26770320803110598"/>
    <x v="14"/>
    <x v="22"/>
    <x v="22"/>
    <n v="1631.9812416257257"/>
    <n v="1720.5532148745192"/>
    <n v="3352.5344565002451"/>
  </r>
  <r>
    <x v="23"/>
    <n v="3"/>
    <x v="5"/>
    <x v="23"/>
    <n v="0.37866287880761296"/>
    <x v="15"/>
    <x v="23"/>
    <x v="23"/>
    <n v="1109.6523056210031"/>
    <n v="8555.1756570494108"/>
    <n v="9664.8279626704134"/>
  </r>
  <r>
    <x v="24"/>
    <n v="5"/>
    <x v="2"/>
    <x v="24"/>
    <n v="0.36516860719931299"/>
    <x v="16"/>
    <x v="24"/>
    <x v="24"/>
    <n v="4387.8064001161019"/>
    <n v="7448.0643343304282"/>
    <n v="11835.870734446529"/>
  </r>
  <r>
    <x v="25"/>
    <n v="7"/>
    <x v="6"/>
    <x v="25"/>
    <n v="0.53987447823273893"/>
    <x v="11"/>
    <x v="25"/>
    <x v="25"/>
    <n v="733.87719298245611"/>
    <n v="2223.5237242614144"/>
    <n v="2957.4009172438705"/>
  </r>
  <r>
    <x v="26"/>
    <n v="1"/>
    <x v="0"/>
    <x v="26"/>
    <n v="0.24674267093769198"/>
    <x v="10"/>
    <x v="26"/>
    <x v="26"/>
    <n v="4279.2132296265154"/>
    <n v="8016.2046558933216"/>
    <n v="12295.417885519837"/>
  </r>
  <r>
    <x v="27"/>
    <n v="2"/>
    <x v="3"/>
    <x v="27"/>
    <n v="0.19761156022783999"/>
    <x v="10"/>
    <x v="27"/>
    <x v="27"/>
    <n v="11839.914162025038"/>
    <n v="2143.6231071228267"/>
    <n v="13983.537269147864"/>
  </r>
  <r>
    <x v="28"/>
    <n v="1"/>
    <x v="0"/>
    <x v="28"/>
    <n v="0.35378209029213797"/>
    <x v="9"/>
    <x v="28"/>
    <x v="28"/>
    <n v="603.77371832645849"/>
    <n v="3676.6615088282501"/>
    <n v="4280.4352271547086"/>
  </r>
  <r>
    <x v="29"/>
    <n v="6"/>
    <x v="1"/>
    <x v="29"/>
    <n v="0.31077986216924403"/>
    <x v="6"/>
    <x v="29"/>
    <x v="29"/>
    <n v="385.70837166513343"/>
    <n v="3490.710435117443"/>
    <n v="3876.4188067825762"/>
  </r>
  <r>
    <x v="30"/>
    <n v="7"/>
    <x v="6"/>
    <x v="30"/>
    <n v="0.36247414065903"/>
    <x v="14"/>
    <x v="30"/>
    <x v="30"/>
    <n v="291"/>
    <n v="3956.3931906614789"/>
    <n v="4247.3931906614789"/>
  </r>
  <r>
    <x v="31"/>
    <n v="2"/>
    <x v="3"/>
    <x v="31"/>
    <n v="0.257981022039174"/>
    <x v="10"/>
    <x v="31"/>
    <x v="31"/>
    <n v="19714.904184052368"/>
    <n v="16789.556521589719"/>
    <n v="36504.460705642086"/>
  </r>
  <r>
    <x v="32"/>
    <n v="7"/>
    <x v="6"/>
    <x v="32"/>
    <n v="0.529461753707683"/>
    <x v="6"/>
    <x v="32"/>
    <x v="32"/>
    <n v="333.99107142857144"/>
    <n v="1674.9389329333621"/>
    <n v="2008.9300043619337"/>
  </r>
  <r>
    <x v="33"/>
    <n v="1"/>
    <x v="0"/>
    <x v="33"/>
    <n v="0.32334810554032101"/>
    <x v="12"/>
    <x v="33"/>
    <x v="33"/>
    <n v="2055.0073463935887"/>
    <n v="7959.7212970010651"/>
    <n v="10014.728643394654"/>
  </r>
  <r>
    <x v="34"/>
    <n v="6"/>
    <x v="1"/>
    <x v="34"/>
    <n v="0.35262064584415903"/>
    <x v="1"/>
    <x v="34"/>
    <x v="34"/>
    <n v="199.23992994746061"/>
    <n v="4463.2863554757632"/>
    <n v="4662.5262854232242"/>
  </r>
  <r>
    <x v="35"/>
    <n v="2"/>
    <x v="3"/>
    <x v="35"/>
    <n v="0.34724402378858998"/>
    <x v="10"/>
    <x v="35"/>
    <x v="35"/>
    <n v="2116.930094043887"/>
    <n v="7633.3061432377372"/>
    <n v="9750.2362372816242"/>
  </r>
  <r>
    <x v="36"/>
    <n v="5"/>
    <x v="2"/>
    <x v="36"/>
    <n v="0.32330948034611501"/>
    <x v="7"/>
    <x v="36"/>
    <x v="36"/>
    <n v="601.0214329454991"/>
    <n v="2170.7134674134418"/>
    <n v="2771.7349003589406"/>
  </r>
  <r>
    <x v="37"/>
    <n v="1"/>
    <x v="0"/>
    <x v="37"/>
    <n v="0.26499229262902602"/>
    <x v="9"/>
    <x v="37"/>
    <x v="37"/>
    <n v="4551.0203955500619"/>
    <n v="7327.8959697853415"/>
    <n v="11878.916365335404"/>
  </r>
  <r>
    <x v="38"/>
    <n v="4"/>
    <x v="4"/>
    <x v="38"/>
    <n v="0.43387672654207698"/>
    <x v="17"/>
    <x v="38"/>
    <x v="38"/>
    <n v="1841.1498563676987"/>
    <n v="5264.9228597358078"/>
    <n v="7106.0727161035065"/>
  </r>
  <r>
    <x v="39"/>
    <n v="2"/>
    <x v="3"/>
    <x v="39"/>
    <n v="0.316796650834198"/>
    <x v="9"/>
    <x v="39"/>
    <x v="39"/>
    <n v="769.51372388365428"/>
    <n v="8461.7339902980748"/>
    <n v="9231.247714181729"/>
  </r>
  <r>
    <x v="40"/>
    <n v="3"/>
    <x v="5"/>
    <x v="40"/>
    <n v="0.33711452822327098"/>
    <x v="6"/>
    <x v="40"/>
    <x v="40"/>
    <n v="377.01288855193332"/>
    <n v="5446.9593355996385"/>
    <n v="5823.9722241515719"/>
  </r>
  <r>
    <x v="41"/>
    <n v="2"/>
    <x v="3"/>
    <x v="41"/>
    <n v="0.24628508883404598"/>
    <x v="10"/>
    <x v="41"/>
    <x v="41"/>
    <n v="5446.0744375131426"/>
    <n v="1956.4145658263305"/>
    <n v="7402.48900333947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s v="Popayán"/>
    <n v="62.766867663180243"/>
  </r>
  <r>
    <x v="0"/>
    <s v="Cajibío"/>
    <n v="75.019967827648614"/>
  </r>
  <r>
    <x v="0"/>
    <s v="El Tambo"/>
    <n v="139.1855502211304"/>
  </r>
  <r>
    <x v="0"/>
    <s v="Morales"/>
    <n v="129.41846710588834"/>
  </r>
  <r>
    <x v="0"/>
    <s v="Piendamó"/>
    <n v="30.282061888253722"/>
  </r>
  <r>
    <x v="0"/>
    <s v="Puracé"/>
    <n v="14.832687575192443"/>
  </r>
  <r>
    <x v="0"/>
    <s v="Silvia"/>
    <n v="49.293073583757369"/>
  </r>
  <r>
    <x v="0"/>
    <s v="Timbio"/>
    <n v="21.051864956149021"/>
  </r>
  <r>
    <x v="1"/>
    <s v="Buenos Aires"/>
    <n v="73.091747879515154"/>
  </r>
  <r>
    <x v="1"/>
    <s v="Caldono"/>
    <n v="50.34497016438165"/>
  </r>
  <r>
    <x v="1"/>
    <s v="Caloto"/>
    <n v="33.378600334314569"/>
  </r>
  <r>
    <x v="1"/>
    <s v="Corinto"/>
    <n v="13.575361395206505"/>
  </r>
  <r>
    <x v="1"/>
    <s v="Guachene"/>
    <n v="1.7212694556254051"/>
  </r>
  <r>
    <x v="1"/>
    <s v="Jambaló"/>
    <n v="29.208780132671368"/>
  </r>
  <r>
    <x v="1"/>
    <s v="Miranda"/>
    <n v="11.270112581204627"/>
  </r>
  <r>
    <x v="1"/>
    <s v="Padilla"/>
    <n v="1.8481686368258938"/>
  </r>
  <r>
    <x v="1"/>
    <s v="Puerto Tejada"/>
    <n v="0.68955877937785026"/>
  </r>
  <r>
    <x v="1"/>
    <s v="Santander de Quilichao"/>
    <n v="48.234281197290137"/>
  </r>
  <r>
    <x v="1"/>
    <s v="Suárez"/>
    <n v="41.151536326826374"/>
  </r>
  <r>
    <x v="1"/>
    <s v="Toribio"/>
    <n v="20.849995009922107"/>
  </r>
  <r>
    <x v="1"/>
    <s v="Villa Rica"/>
    <n v="2.8789035429185925"/>
  </r>
  <r>
    <x v="2"/>
    <s v="Inza"/>
    <n v="41.21129816038885"/>
  </r>
  <r>
    <x v="2"/>
    <s v="Páez"/>
    <n v="104.60291493048281"/>
  </r>
  <r>
    <x v="2"/>
    <s v="Totoro"/>
    <n v="33.731076860644023"/>
  </r>
  <r>
    <x v="3"/>
    <s v="Guapi"/>
    <n v="374.99107619897109"/>
  </r>
  <r>
    <x v="3"/>
    <s v="López de Micay"/>
    <n v="198.69432133724726"/>
  </r>
  <r>
    <x v="3"/>
    <s v="Timbiquí"/>
    <n v="277.70153677421263"/>
  </r>
  <r>
    <x v="4"/>
    <s v="Argelia"/>
    <n v="53.973107100561926"/>
  </r>
  <r>
    <x v="4"/>
    <s v="Balboa"/>
    <n v="19.830794906330386"/>
  </r>
  <r>
    <x v="4"/>
    <s v="Bolivar"/>
    <n v="67.658572437599588"/>
  </r>
  <r>
    <x v="4"/>
    <s v="Florencia"/>
    <n v="1.7750403875108649"/>
  </r>
  <r>
    <x v="4"/>
    <s v="Mercaderes"/>
    <n v="20.374080833388433"/>
  </r>
  <r>
    <x v="4"/>
    <s v="Patía"/>
    <n v="58.952304115123361"/>
  </r>
  <r>
    <x v="4"/>
    <s v="Sucre"/>
    <n v="14.024024873393117"/>
  </r>
  <r>
    <x v="5"/>
    <s v="Almaguer"/>
    <n v="64.871816485170825"/>
  </r>
  <r>
    <x v="5"/>
    <s v="La Sierra"/>
    <n v="13.701726355875284"/>
  </r>
  <r>
    <x v="5"/>
    <s v="La Vega"/>
    <n v="18.936744139136305"/>
  </r>
  <r>
    <x v="5"/>
    <s v="Rosas"/>
    <n v="7.1363413629919377"/>
  </r>
  <r>
    <x v="5"/>
    <s v="Sotará"/>
    <n v="22.504176178978742"/>
  </r>
  <r>
    <x v="6"/>
    <s v="Piamonte"/>
    <n v="91.928292961576574"/>
  </r>
  <r>
    <x v="6"/>
    <s v="San Sebastián"/>
    <n v="16.648230600974692"/>
  </r>
  <r>
    <x v="6"/>
    <s v="Santa Rosa"/>
    <n v="22.6586967421605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laDinámica2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H25:P69" firstHeaderRow="1" firstDataRow="2" firstDataCol="1"/>
  <pivotFields count="11">
    <pivotField showAll="0"/>
    <pivotField showAll="0"/>
    <pivotField axis="axisCol" showAll="0">
      <items count="8">
        <item x="0"/>
        <item x="3"/>
        <item x="5"/>
        <item x="4"/>
        <item x="2"/>
        <item x="1"/>
        <item x="6"/>
        <item t="default"/>
      </items>
    </pivotField>
    <pivotField axis="axisRow" showAll="0">
      <items count="4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27"/>
        <item x="28"/>
        <item x="29"/>
        <item x="30"/>
        <item x="32"/>
        <item x="31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umFmtId="9" showAll="0"/>
    <pivotField showAll="0"/>
    <pivotField dataField="1" numFmtId="1" showAll="0">
      <items count="43">
        <item x="11"/>
        <item x="32"/>
        <item x="36"/>
        <item x="25"/>
        <item x="22"/>
        <item x="30"/>
        <item x="16"/>
        <item x="29"/>
        <item x="15"/>
        <item x="34"/>
        <item x="28"/>
        <item x="18"/>
        <item x="40"/>
        <item x="19"/>
        <item x="1"/>
        <item x="17"/>
        <item x="12"/>
        <item x="38"/>
        <item x="13"/>
        <item x="41"/>
        <item x="3"/>
        <item x="14"/>
        <item x="35"/>
        <item x="8"/>
        <item x="2"/>
        <item x="9"/>
        <item x="39"/>
        <item x="33"/>
        <item x="7"/>
        <item x="21"/>
        <item x="5"/>
        <item x="23"/>
        <item x="24"/>
        <item x="6"/>
        <item x="37"/>
        <item x="20"/>
        <item x="26"/>
        <item x="27"/>
        <item x="10"/>
        <item x="4"/>
        <item x="31"/>
        <item x="0"/>
        <item t="default"/>
      </items>
    </pivotField>
    <pivotField numFmtId="1" showAll="0"/>
    <pivotField numFmtId="1" showAll="0"/>
    <pivotField numFmtId="1" showAll="0"/>
    <pivotField numFmtId="1" showAll="0"/>
  </pivotFields>
  <rowFields count="1">
    <field x="3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Vivienda_ocupada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H14:I22" firstHeaderRow="1" firstDataRow="1" firstDataCol="1"/>
  <pivotFields count="11">
    <pivotField showAll="0"/>
    <pivotField showAll="0"/>
    <pivotField axis="axisRow" showAll="0">
      <items count="8">
        <item x="0"/>
        <item x="3"/>
        <item x="5"/>
        <item x="4"/>
        <item x="2"/>
        <item x="1"/>
        <item x="6"/>
        <item t="default"/>
      </items>
    </pivotField>
    <pivotField dataField="1" showAll="0">
      <items count="4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27"/>
        <item x="28"/>
        <item x="29"/>
        <item x="30"/>
        <item x="32"/>
        <item x="31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umFmtId="9" showAll="0"/>
    <pivotField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Municipi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TablaDinámica7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N14:O22" firstHeaderRow="1" firstDataRow="1" firstDataCol="1"/>
  <pivotFields count="11">
    <pivotField showAll="0"/>
    <pivotField showAll="0"/>
    <pivotField axis="axisRow" showAll="0">
      <items count="8">
        <item x="0"/>
        <item x="3"/>
        <item x="5"/>
        <item x="4"/>
        <item x="2"/>
        <item x="1"/>
        <item x="6"/>
        <item t="default"/>
      </items>
    </pivotField>
    <pivotField showAll="0">
      <items count="4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27"/>
        <item x="28"/>
        <item x="29"/>
        <item x="30"/>
        <item x="32"/>
        <item x="31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umFmtId="9" showAll="0"/>
    <pivotField showAll="0"/>
    <pivotField dataField="1" numFmtId="1" showAll="0">
      <items count="43">
        <item x="11"/>
        <item x="32"/>
        <item x="36"/>
        <item x="25"/>
        <item x="22"/>
        <item x="30"/>
        <item x="16"/>
        <item x="29"/>
        <item x="15"/>
        <item x="34"/>
        <item x="28"/>
        <item x="18"/>
        <item x="40"/>
        <item x="19"/>
        <item x="1"/>
        <item x="17"/>
        <item x="12"/>
        <item x="38"/>
        <item x="13"/>
        <item x="41"/>
        <item x="3"/>
        <item x="14"/>
        <item x="35"/>
        <item x="8"/>
        <item x="2"/>
        <item x="9"/>
        <item x="39"/>
        <item x="33"/>
        <item x="7"/>
        <item x="21"/>
        <item x="5"/>
        <item x="23"/>
        <item x="24"/>
        <item x="6"/>
        <item x="37"/>
        <item x="20"/>
        <item x="26"/>
        <item x="27"/>
        <item x="10"/>
        <item x="4"/>
        <item x="31"/>
        <item x="0"/>
        <item t="default"/>
      </items>
    </pivotField>
    <pivotField numFmtId="1" showAll="0"/>
    <pivotField numFmtId="1" showAll="0"/>
    <pivotField numFmtId="1" showAll="0"/>
    <pivotField numFmtI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Var de Vivienda_ocupadas" fld="6" subtotal="var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TablaDinámica4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R25:T68" firstHeaderRow="0" firstDataRow="1" firstDataCol="1"/>
  <pivotFields count="11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showAll="0">
      <items count="8">
        <item x="0"/>
        <item x="3"/>
        <item x="5"/>
        <item x="4"/>
        <item x="2"/>
        <item x="1"/>
        <item x="6"/>
        <item t="default"/>
      </items>
    </pivotField>
    <pivotField showAll="0">
      <items count="4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27"/>
        <item x="28"/>
        <item x="29"/>
        <item x="30"/>
        <item x="32"/>
        <item x="31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umFmtId="9" showAll="0"/>
    <pivotField showAll="0"/>
    <pivotField numFmtId="1" showAll="0">
      <items count="43">
        <item x="11"/>
        <item x="32"/>
        <item x="36"/>
        <item x="25"/>
        <item x="22"/>
        <item x="30"/>
        <item x="16"/>
        <item x="29"/>
        <item x="15"/>
        <item x="34"/>
        <item x="28"/>
        <item x="18"/>
        <item x="40"/>
        <item x="19"/>
        <item x="1"/>
        <item x="17"/>
        <item x="12"/>
        <item x="38"/>
        <item x="13"/>
        <item x="41"/>
        <item x="3"/>
        <item x="14"/>
        <item x="35"/>
        <item x="8"/>
        <item x="2"/>
        <item x="9"/>
        <item x="39"/>
        <item x="33"/>
        <item x="7"/>
        <item x="21"/>
        <item x="5"/>
        <item x="23"/>
        <item x="24"/>
        <item x="6"/>
        <item x="37"/>
        <item x="20"/>
        <item x="26"/>
        <item x="27"/>
        <item x="10"/>
        <item x="4"/>
        <item x="31"/>
        <item x="0"/>
        <item t="default"/>
      </items>
    </pivotField>
    <pivotField dataField="1" numFmtId="1" showAll="0">
      <items count="43">
        <item x="11"/>
        <item x="32"/>
        <item x="36"/>
        <item x="25"/>
        <item x="22"/>
        <item x="16"/>
        <item x="29"/>
        <item x="15"/>
        <item x="30"/>
        <item x="28"/>
        <item x="34"/>
        <item x="18"/>
        <item x="40"/>
        <item x="12"/>
        <item x="38"/>
        <item x="13"/>
        <item x="1"/>
        <item x="19"/>
        <item x="41"/>
        <item x="17"/>
        <item x="14"/>
        <item x="3"/>
        <item x="8"/>
        <item x="2"/>
        <item x="39"/>
        <item x="9"/>
        <item x="5"/>
        <item x="23"/>
        <item x="35"/>
        <item x="33"/>
        <item x="20"/>
        <item x="7"/>
        <item x="21"/>
        <item x="37"/>
        <item x="24"/>
        <item x="26"/>
        <item x="6"/>
        <item x="27"/>
        <item x="4"/>
        <item x="10"/>
        <item x="31"/>
        <item x="0"/>
        <item t="default"/>
      </items>
    </pivotField>
    <pivotField numFmtId="1" showAll="0"/>
    <pivotField dataField="1" numFmtId="1" showAll="0"/>
    <pivotField numFmtId="1"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N_Viviendas_Rural_2020" fld="9" baseField="0" baseItem="0"/>
    <dataField name="Suma de Unidad_Total_Vivienda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TablaDinámica6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K14:L22" firstHeaderRow="1" firstDataRow="1" firstDataCol="1"/>
  <pivotFields count="11">
    <pivotField showAll="0"/>
    <pivotField showAll="0"/>
    <pivotField axis="axisRow" showAll="0">
      <items count="8">
        <item x="0"/>
        <item x="3"/>
        <item x="5"/>
        <item x="4"/>
        <item x="2"/>
        <item x="1"/>
        <item x="6"/>
        <item t="default"/>
      </items>
    </pivotField>
    <pivotField showAll="0">
      <items count="4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27"/>
        <item x="28"/>
        <item x="29"/>
        <item x="30"/>
        <item x="32"/>
        <item x="31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umFmtId="9" showAll="0"/>
    <pivotField showAll="0"/>
    <pivotField dataField="1" numFmtId="1" showAll="0">
      <items count="43">
        <item x="11"/>
        <item x="32"/>
        <item x="36"/>
        <item x="25"/>
        <item x="22"/>
        <item x="30"/>
        <item x="16"/>
        <item x="29"/>
        <item x="15"/>
        <item x="34"/>
        <item x="28"/>
        <item x="18"/>
        <item x="40"/>
        <item x="19"/>
        <item x="1"/>
        <item x="17"/>
        <item x="12"/>
        <item x="38"/>
        <item x="13"/>
        <item x="41"/>
        <item x="3"/>
        <item x="14"/>
        <item x="35"/>
        <item x="8"/>
        <item x="2"/>
        <item x="9"/>
        <item x="39"/>
        <item x="33"/>
        <item x="7"/>
        <item x="21"/>
        <item x="5"/>
        <item x="23"/>
        <item x="24"/>
        <item x="6"/>
        <item x="37"/>
        <item x="20"/>
        <item x="26"/>
        <item x="27"/>
        <item x="10"/>
        <item x="4"/>
        <item x="31"/>
        <item x="0"/>
        <item t="default"/>
      </items>
    </pivotField>
    <pivotField numFmtId="1" showAll="0"/>
    <pivotField numFmtId="1" showAll="0"/>
    <pivotField numFmtId="1" showAll="0"/>
    <pivotField numFmtI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Promedio de Vivienda_ocupadas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ablaDinámica3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H73:P117" firstHeaderRow="1" firstDataRow="2" firstDataCol="1"/>
  <pivotFields count="11">
    <pivotField showAll="0"/>
    <pivotField showAll="0"/>
    <pivotField axis="axisCol" showAll="0">
      <items count="8">
        <item x="0"/>
        <item x="3"/>
        <item x="5"/>
        <item x="4"/>
        <item x="2"/>
        <item x="1"/>
        <item x="6"/>
        <item t="default"/>
      </items>
    </pivotField>
    <pivotField axis="axisRow" showAll="0">
      <items count="4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27"/>
        <item x="28"/>
        <item x="29"/>
        <item x="30"/>
        <item x="32"/>
        <item x="31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umFmtId="9" showAll="0"/>
    <pivotField dataField="1" showAll="0">
      <items count="19">
        <item x="10"/>
        <item x="9"/>
        <item x="5"/>
        <item x="12"/>
        <item x="6"/>
        <item x="7"/>
        <item x="14"/>
        <item x="11"/>
        <item x="4"/>
        <item x="1"/>
        <item x="17"/>
        <item x="13"/>
        <item x="2"/>
        <item x="3"/>
        <item x="8"/>
        <item x="15"/>
        <item x="16"/>
        <item x="0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</pivotFields>
  <rowFields count="1">
    <field x="3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N_Corregimient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1" firstHeaderRow="1" firstDataRow="1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numFmtI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Mues_muni" fld="2" baseField="0" baseItem="0"/>
  </dataFields>
  <formats count="7">
    <format dxfId="21">
      <pivotArea collapsedLevelsAreSubtotals="1" fieldPosition="0">
        <references count="1">
          <reference field="0" count="0"/>
        </references>
      </pivotArea>
    </format>
    <format dxfId="20">
      <pivotArea collapsedLevelsAreSubtotals="1" fieldPosition="0">
        <references count="1">
          <reference field="0" count="0"/>
        </references>
      </pivotArea>
    </format>
    <format dxfId="19">
      <pivotArea collapsedLevelsAreSubtotals="1" fieldPosition="0">
        <references count="1">
          <reference field="0" count="0"/>
        </references>
      </pivotArea>
    </format>
    <format dxfId="18">
      <pivotArea collapsedLevelsAreSubtotals="1" fieldPosition="0">
        <references count="1">
          <reference field="0" count="0"/>
        </references>
      </pivotArea>
    </format>
    <format dxfId="17">
      <pivotArea collapsedLevelsAreSubtotals="1" fieldPosition="0">
        <references count="1">
          <reference field="0" count="0"/>
        </references>
      </pivotArea>
    </format>
    <format dxfId="16">
      <pivotArea collapsedLevelsAreSubtotals="1" fieldPosition="0">
        <references count="1">
          <reference field="0" count="0"/>
        </references>
      </pivotArea>
    </format>
    <format dxfId="15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48"/>
  <sheetViews>
    <sheetView topLeftCell="H1" workbookViewId="0">
      <selection activeCell="Z5" sqref="Z5"/>
    </sheetView>
  </sheetViews>
  <sheetFormatPr baseColWidth="10" defaultColWidth="10.83203125" defaultRowHeight="15" x14ac:dyDescent="0.2"/>
  <cols>
    <col min="1" max="2" width="10.83203125" style="20"/>
    <col min="3" max="3" width="16.33203125" style="21" customWidth="1"/>
    <col min="4" max="16384" width="10.83203125" style="20"/>
  </cols>
  <sheetData>
    <row r="2" spans="1:38" s="3" customFormat="1" ht="12.75" customHeight="1" x14ac:dyDescent="0.2">
      <c r="A2" s="2" t="s">
        <v>60</v>
      </c>
      <c r="B2" s="2"/>
      <c r="C2" s="2"/>
      <c r="D2" s="136" t="s">
        <v>61</v>
      </c>
      <c r="E2" s="136"/>
      <c r="F2" s="136"/>
      <c r="G2" s="136"/>
      <c r="H2" s="136"/>
      <c r="I2" s="136"/>
      <c r="J2" s="136"/>
      <c r="K2" s="136" t="s">
        <v>62</v>
      </c>
      <c r="L2" s="136"/>
      <c r="M2" s="136"/>
      <c r="N2" s="136"/>
      <c r="O2" s="136"/>
      <c r="P2" s="136"/>
      <c r="Q2" s="136"/>
      <c r="R2" s="136" t="s">
        <v>63</v>
      </c>
      <c r="S2" s="136"/>
      <c r="T2" s="136"/>
      <c r="U2" s="136"/>
      <c r="V2" s="136"/>
      <c r="W2" s="136"/>
      <c r="X2" s="136"/>
    </row>
    <row r="3" spans="1:38" s="3" customFormat="1" ht="12.75" customHeight="1" x14ac:dyDescent="0.2">
      <c r="A3" s="4"/>
      <c r="B3" s="5"/>
      <c r="C3" s="5"/>
      <c r="D3" s="137" t="s">
        <v>64</v>
      </c>
      <c r="E3" s="138"/>
      <c r="F3" s="138"/>
      <c r="G3" s="139"/>
      <c r="H3" s="137" t="s">
        <v>65</v>
      </c>
      <c r="I3" s="138"/>
      <c r="J3" s="139"/>
      <c r="K3" s="137" t="s">
        <v>64</v>
      </c>
      <c r="L3" s="138"/>
      <c r="M3" s="138"/>
      <c r="N3" s="139"/>
      <c r="O3" s="137" t="s">
        <v>65</v>
      </c>
      <c r="P3" s="138"/>
      <c r="Q3" s="139"/>
      <c r="R3" s="137" t="s">
        <v>64</v>
      </c>
      <c r="S3" s="138"/>
      <c r="T3" s="138"/>
      <c r="U3" s="139"/>
      <c r="V3" s="137" t="s">
        <v>65</v>
      </c>
      <c r="W3" s="138"/>
      <c r="X3" s="139"/>
      <c r="Y3" s="3" t="s">
        <v>159</v>
      </c>
      <c r="Z3" s="3" t="s">
        <v>160</v>
      </c>
    </row>
    <row r="4" spans="1:38" s="3" customFormat="1" ht="57" thickBot="1" x14ac:dyDescent="0.25">
      <c r="A4" s="6" t="s">
        <v>66</v>
      </c>
      <c r="B4" s="7" t="s">
        <v>67</v>
      </c>
      <c r="C4" s="7" t="s">
        <v>68</v>
      </c>
      <c r="D4" s="8" t="s">
        <v>69</v>
      </c>
      <c r="E4" s="9" t="s">
        <v>70</v>
      </c>
      <c r="F4" s="9" t="s">
        <v>71</v>
      </c>
      <c r="G4" s="9" t="s">
        <v>72</v>
      </c>
      <c r="H4" s="8" t="s">
        <v>73</v>
      </c>
      <c r="I4" s="9" t="s">
        <v>74</v>
      </c>
      <c r="J4" s="10" t="s">
        <v>75</v>
      </c>
      <c r="K4" s="8" t="s">
        <v>69</v>
      </c>
      <c r="L4" s="9" t="s">
        <v>70</v>
      </c>
      <c r="M4" s="9" t="s">
        <v>71</v>
      </c>
      <c r="N4" s="9" t="s">
        <v>72</v>
      </c>
      <c r="O4" s="8" t="s">
        <v>73</v>
      </c>
      <c r="P4" s="9" t="s">
        <v>74</v>
      </c>
      <c r="Q4" s="10" t="s">
        <v>75</v>
      </c>
      <c r="R4" s="8" t="s">
        <v>69</v>
      </c>
      <c r="S4" s="9" t="s">
        <v>70</v>
      </c>
      <c r="T4" s="9" t="s">
        <v>71</v>
      </c>
      <c r="U4" s="9" t="s">
        <v>72</v>
      </c>
      <c r="V4" s="8" t="s">
        <v>73</v>
      </c>
      <c r="W4" s="9" t="s">
        <v>74</v>
      </c>
      <c r="X4" s="10" t="s">
        <v>75</v>
      </c>
      <c r="Y4" s="58" t="s">
        <v>161</v>
      </c>
      <c r="Z4" s="59" t="s">
        <v>161</v>
      </c>
      <c r="AA4" s="66" t="s">
        <v>162</v>
      </c>
      <c r="AB4" s="66" t="s">
        <v>165</v>
      </c>
      <c r="AC4" s="3">
        <v>5345</v>
      </c>
    </row>
    <row r="5" spans="1:38" ht="17" x14ac:dyDescent="0.25">
      <c r="A5" s="11" t="s">
        <v>76</v>
      </c>
      <c r="B5" s="12" t="s">
        <v>77</v>
      </c>
      <c r="C5" s="13" t="s">
        <v>42</v>
      </c>
      <c r="D5" s="14">
        <v>8663</v>
      </c>
      <c r="E5" s="15">
        <v>5685</v>
      </c>
      <c r="F5" s="15">
        <v>10118</v>
      </c>
      <c r="G5" s="16">
        <v>84936</v>
      </c>
      <c r="H5" s="17">
        <v>109402</v>
      </c>
      <c r="I5" s="15">
        <v>96983</v>
      </c>
      <c r="J5" s="16">
        <v>277270</v>
      </c>
      <c r="K5" s="14">
        <v>8296</v>
      </c>
      <c r="L5" s="15">
        <v>2931</v>
      </c>
      <c r="M5" s="15">
        <v>8629</v>
      </c>
      <c r="N5" s="15">
        <v>71976</v>
      </c>
      <c r="O5" s="18">
        <v>91832</v>
      </c>
      <c r="P5" s="15">
        <v>81600</v>
      </c>
      <c r="Q5" s="16">
        <v>230298</v>
      </c>
      <c r="R5" s="14">
        <v>367</v>
      </c>
      <c r="S5" s="15">
        <v>2754</v>
      </c>
      <c r="T5" s="15">
        <v>1489</v>
      </c>
      <c r="U5" s="15">
        <v>12960</v>
      </c>
      <c r="V5" s="19">
        <v>17570</v>
      </c>
      <c r="W5" s="15">
        <v>15383</v>
      </c>
      <c r="X5" s="16">
        <v>46972</v>
      </c>
      <c r="Y5" s="60">
        <v>91832</v>
      </c>
      <c r="Z5" s="61">
        <v>17570</v>
      </c>
      <c r="AA5" s="68">
        <v>6.5490545431503303E-2</v>
      </c>
      <c r="AB5" s="68">
        <v>0.48495986480777353</v>
      </c>
      <c r="AC5" s="67">
        <f>+AA5*$AC$4</f>
        <v>350.04696533138514</v>
      </c>
      <c r="AD5" s="3"/>
      <c r="AE5" s="3"/>
      <c r="AF5" s="3"/>
      <c r="AG5" s="3"/>
      <c r="AH5" s="3"/>
      <c r="AI5" s="3"/>
      <c r="AJ5" s="3"/>
      <c r="AK5" s="3"/>
      <c r="AL5" s="3"/>
    </row>
    <row r="6" spans="1:38" ht="17" x14ac:dyDescent="0.25">
      <c r="A6" s="11" t="s">
        <v>78</v>
      </c>
      <c r="B6" s="12" t="s">
        <v>77</v>
      </c>
      <c r="C6" s="13" t="s">
        <v>35</v>
      </c>
      <c r="D6" s="14">
        <v>4</v>
      </c>
      <c r="E6" s="15">
        <v>1248</v>
      </c>
      <c r="F6" s="15">
        <v>597</v>
      </c>
      <c r="G6" s="16">
        <v>5219</v>
      </c>
      <c r="H6" s="17">
        <v>7068</v>
      </c>
      <c r="I6" s="15">
        <v>6632</v>
      </c>
      <c r="J6" s="16">
        <v>16523</v>
      </c>
      <c r="K6" s="14">
        <v>1</v>
      </c>
      <c r="L6" s="15">
        <v>175</v>
      </c>
      <c r="M6" s="15">
        <v>53</v>
      </c>
      <c r="N6" s="15">
        <v>431</v>
      </c>
      <c r="O6" s="18">
        <v>660</v>
      </c>
      <c r="P6" s="15">
        <v>574</v>
      </c>
      <c r="Q6" s="16">
        <v>1205</v>
      </c>
      <c r="R6" s="14">
        <v>3</v>
      </c>
      <c r="S6" s="15">
        <v>1073</v>
      </c>
      <c r="T6" s="15">
        <v>544</v>
      </c>
      <c r="U6" s="15">
        <v>4788</v>
      </c>
      <c r="V6" s="19">
        <v>6408</v>
      </c>
      <c r="W6" s="15">
        <v>6058</v>
      </c>
      <c r="X6" s="16">
        <v>15318</v>
      </c>
      <c r="Y6" s="62">
        <v>660</v>
      </c>
      <c r="Z6" s="63">
        <v>6408</v>
      </c>
      <c r="AA6" s="68">
        <v>2.3885225675872122E-2</v>
      </c>
      <c r="AB6" s="68">
        <v>3.4854245880861852E-3</v>
      </c>
      <c r="AC6" s="67">
        <f t="shared" ref="AC6:AC46" si="0">+AA6*$AC$4</f>
        <v>127.66653123753649</v>
      </c>
      <c r="AD6" s="3"/>
      <c r="AE6" s="3"/>
      <c r="AF6" s="3"/>
      <c r="AG6" s="3"/>
      <c r="AH6" s="3"/>
      <c r="AI6" s="3"/>
      <c r="AJ6" s="3"/>
      <c r="AK6" s="3"/>
      <c r="AL6" s="3"/>
    </row>
    <row r="7" spans="1:38" ht="17" x14ac:dyDescent="0.25">
      <c r="A7" s="11" t="s">
        <v>79</v>
      </c>
      <c r="B7" s="12" t="s">
        <v>77</v>
      </c>
      <c r="C7" s="13" t="s">
        <v>25</v>
      </c>
      <c r="D7" s="14">
        <v>779</v>
      </c>
      <c r="E7" s="15">
        <v>286</v>
      </c>
      <c r="F7" s="15">
        <v>164</v>
      </c>
      <c r="G7" s="16">
        <v>7488</v>
      </c>
      <c r="H7" s="17">
        <v>8717</v>
      </c>
      <c r="I7" s="15">
        <v>7690</v>
      </c>
      <c r="J7" s="16">
        <v>20136</v>
      </c>
      <c r="K7" s="14">
        <v>14</v>
      </c>
      <c r="L7" s="15">
        <v>41</v>
      </c>
      <c r="M7" s="15">
        <v>38</v>
      </c>
      <c r="N7" s="15">
        <v>856</v>
      </c>
      <c r="O7" s="18">
        <v>949</v>
      </c>
      <c r="P7" s="15">
        <v>930</v>
      </c>
      <c r="Q7" s="16">
        <v>2367</v>
      </c>
      <c r="R7" s="14">
        <v>765</v>
      </c>
      <c r="S7" s="15">
        <v>245</v>
      </c>
      <c r="T7" s="15">
        <v>126</v>
      </c>
      <c r="U7" s="15">
        <v>6632</v>
      </c>
      <c r="V7" s="19">
        <v>7768</v>
      </c>
      <c r="W7" s="15">
        <v>6760</v>
      </c>
      <c r="X7" s="16">
        <v>17769</v>
      </c>
      <c r="Y7" s="64">
        <v>949</v>
      </c>
      <c r="Z7" s="65">
        <v>7768</v>
      </c>
      <c r="AA7" s="68">
        <v>2.8954499539665203E-2</v>
      </c>
      <c r="AB7" s="68">
        <v>5.0116180819602873E-3</v>
      </c>
      <c r="AC7" s="67">
        <f t="shared" si="0"/>
        <v>154.76180003951052</v>
      </c>
      <c r="AD7" s="3"/>
      <c r="AE7" s="3"/>
      <c r="AF7" s="3"/>
      <c r="AG7" s="3"/>
      <c r="AH7" s="3"/>
      <c r="AI7" s="3"/>
      <c r="AJ7" s="3"/>
      <c r="AK7" s="3"/>
      <c r="AL7" s="3"/>
    </row>
    <row r="8" spans="1:38" ht="17" x14ac:dyDescent="0.25">
      <c r="A8" s="11" t="s">
        <v>80</v>
      </c>
      <c r="B8" s="12" t="s">
        <v>77</v>
      </c>
      <c r="C8" s="13" t="s">
        <v>26</v>
      </c>
      <c r="D8" s="14">
        <v>10</v>
      </c>
      <c r="E8" s="15">
        <v>934</v>
      </c>
      <c r="F8" s="15">
        <v>527</v>
      </c>
      <c r="G8" s="16">
        <v>6722</v>
      </c>
      <c r="H8" s="17">
        <v>8193</v>
      </c>
      <c r="I8" s="15">
        <v>7323</v>
      </c>
      <c r="J8" s="16">
        <v>18910</v>
      </c>
      <c r="K8" s="14">
        <v>9</v>
      </c>
      <c r="L8" s="15">
        <v>205</v>
      </c>
      <c r="M8" s="15">
        <v>132</v>
      </c>
      <c r="N8" s="15">
        <v>1682</v>
      </c>
      <c r="O8" s="18">
        <v>2028</v>
      </c>
      <c r="P8" s="15">
        <v>1856</v>
      </c>
      <c r="Q8" s="16">
        <v>5234</v>
      </c>
      <c r="R8" s="14">
        <v>1</v>
      </c>
      <c r="S8" s="15">
        <v>729</v>
      </c>
      <c r="T8" s="15">
        <v>395</v>
      </c>
      <c r="U8" s="15">
        <v>5040</v>
      </c>
      <c r="V8" s="19">
        <v>6165</v>
      </c>
      <c r="W8" s="15">
        <v>5467</v>
      </c>
      <c r="X8" s="16">
        <v>13676</v>
      </c>
      <c r="Y8" s="62">
        <v>2028</v>
      </c>
      <c r="Z8" s="63">
        <v>6165</v>
      </c>
      <c r="AA8" s="68">
        <v>2.2979465713444384E-2</v>
      </c>
      <c r="AB8" s="68">
        <v>1.0709759188846641E-2</v>
      </c>
      <c r="AC8" s="67">
        <f t="shared" si="0"/>
        <v>122.82524423836024</v>
      </c>
      <c r="AD8" s="3"/>
      <c r="AE8" s="3"/>
      <c r="AF8" s="3"/>
      <c r="AG8" s="3"/>
      <c r="AH8" s="3"/>
      <c r="AI8" s="3"/>
      <c r="AJ8" s="3"/>
      <c r="AK8" s="3"/>
      <c r="AL8" s="3"/>
    </row>
    <row r="9" spans="1:38" ht="17" x14ac:dyDescent="0.25">
      <c r="A9" s="11" t="s">
        <v>81</v>
      </c>
      <c r="B9" s="12" t="s">
        <v>77</v>
      </c>
      <c r="C9" s="13" t="s">
        <v>27</v>
      </c>
      <c r="D9" s="14">
        <v>516</v>
      </c>
      <c r="E9" s="15">
        <v>527</v>
      </c>
      <c r="F9" s="15">
        <v>1743</v>
      </c>
      <c r="G9" s="16">
        <v>12670</v>
      </c>
      <c r="H9" s="17">
        <v>15456</v>
      </c>
      <c r="I9" s="15">
        <v>13447</v>
      </c>
      <c r="J9" s="16">
        <v>35837</v>
      </c>
      <c r="K9" s="14">
        <v>18</v>
      </c>
      <c r="L9" s="15">
        <v>101</v>
      </c>
      <c r="M9" s="15">
        <v>275</v>
      </c>
      <c r="N9" s="15">
        <v>1455</v>
      </c>
      <c r="O9" s="18">
        <v>1849</v>
      </c>
      <c r="P9" s="15">
        <v>1746</v>
      </c>
      <c r="Q9" s="16">
        <v>4707</v>
      </c>
      <c r="R9" s="14">
        <v>498</v>
      </c>
      <c r="S9" s="15">
        <v>426</v>
      </c>
      <c r="T9" s="15">
        <v>1468</v>
      </c>
      <c r="U9" s="15">
        <v>11215</v>
      </c>
      <c r="V9" s="19">
        <v>13607</v>
      </c>
      <c r="W9" s="15">
        <v>11701</v>
      </c>
      <c r="X9" s="16">
        <v>31130</v>
      </c>
      <c r="Y9" s="64">
        <v>1849</v>
      </c>
      <c r="Z9" s="65">
        <v>13607</v>
      </c>
      <c r="AA9" s="68">
        <v>5.0718830488700364E-2</v>
      </c>
      <c r="AB9" s="68">
        <v>9.7644697929869032E-3</v>
      </c>
      <c r="AC9" s="67">
        <f t="shared" si="0"/>
        <v>271.09214896210347</v>
      </c>
      <c r="AD9" s="3"/>
      <c r="AE9" s="3"/>
      <c r="AF9" s="3"/>
      <c r="AG9" s="3"/>
      <c r="AH9" s="3"/>
      <c r="AI9" s="3"/>
      <c r="AJ9" s="3"/>
      <c r="AK9" s="3"/>
      <c r="AL9" s="3"/>
    </row>
    <row r="10" spans="1:38" ht="17" x14ac:dyDescent="0.25">
      <c r="A10" s="11" t="s">
        <v>82</v>
      </c>
      <c r="B10" s="12" t="s">
        <v>77</v>
      </c>
      <c r="C10" s="13" t="s">
        <v>9</v>
      </c>
      <c r="D10" s="14">
        <v>357</v>
      </c>
      <c r="E10" s="15">
        <v>256</v>
      </c>
      <c r="F10" s="15">
        <v>450</v>
      </c>
      <c r="G10" s="16">
        <v>8398</v>
      </c>
      <c r="H10" s="17">
        <v>9461</v>
      </c>
      <c r="I10" s="15">
        <v>9090</v>
      </c>
      <c r="J10" s="16">
        <v>25257</v>
      </c>
      <c r="K10" s="14">
        <v>1</v>
      </c>
      <c r="L10" s="15">
        <v>1</v>
      </c>
      <c r="M10" s="15">
        <v>20</v>
      </c>
      <c r="N10" s="15">
        <v>412</v>
      </c>
      <c r="O10" s="18">
        <v>434</v>
      </c>
      <c r="P10" s="15">
        <v>433</v>
      </c>
      <c r="Q10" s="16">
        <v>1144</v>
      </c>
      <c r="R10" s="14">
        <v>356</v>
      </c>
      <c r="S10" s="15">
        <v>255</v>
      </c>
      <c r="T10" s="15">
        <v>430</v>
      </c>
      <c r="U10" s="15">
        <v>7986</v>
      </c>
      <c r="V10" s="19">
        <v>9027</v>
      </c>
      <c r="W10" s="15">
        <v>8657</v>
      </c>
      <c r="X10" s="16">
        <v>24113</v>
      </c>
      <c r="Y10" s="62">
        <v>434</v>
      </c>
      <c r="Z10" s="63">
        <v>9027</v>
      </c>
      <c r="AA10" s="68">
        <v>3.3647305270926596E-2</v>
      </c>
      <c r="AB10" s="68">
        <v>2.2919307139839459E-3</v>
      </c>
      <c r="AC10" s="67">
        <f t="shared" si="0"/>
        <v>179.84484667310267</v>
      </c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17" x14ac:dyDescent="0.25">
      <c r="A11" s="11" t="s">
        <v>83</v>
      </c>
      <c r="B11" s="12" t="s">
        <v>77</v>
      </c>
      <c r="C11" s="13" t="s">
        <v>1</v>
      </c>
      <c r="D11" s="14">
        <v>1793</v>
      </c>
      <c r="E11" s="15">
        <v>464</v>
      </c>
      <c r="F11" s="15">
        <v>783</v>
      </c>
      <c r="G11" s="16">
        <v>9176</v>
      </c>
      <c r="H11" s="17">
        <v>12216</v>
      </c>
      <c r="I11" s="15">
        <v>10692</v>
      </c>
      <c r="J11" s="16">
        <v>32237</v>
      </c>
      <c r="K11" s="14">
        <v>37</v>
      </c>
      <c r="L11" s="15">
        <v>56</v>
      </c>
      <c r="M11" s="15">
        <v>91</v>
      </c>
      <c r="N11" s="15">
        <v>622</v>
      </c>
      <c r="O11" s="18">
        <v>806</v>
      </c>
      <c r="P11" s="15">
        <v>711</v>
      </c>
      <c r="Q11" s="16">
        <v>1958</v>
      </c>
      <c r="R11" s="14">
        <v>1756</v>
      </c>
      <c r="S11" s="15">
        <v>408</v>
      </c>
      <c r="T11" s="15">
        <v>692</v>
      </c>
      <c r="U11" s="15">
        <v>8554</v>
      </c>
      <c r="V11" s="19">
        <v>11410</v>
      </c>
      <c r="W11" s="15">
        <v>9981</v>
      </c>
      <c r="X11" s="16">
        <v>30279</v>
      </c>
      <c r="Y11" s="64">
        <v>806</v>
      </c>
      <c r="Z11" s="65">
        <v>11410</v>
      </c>
      <c r="AA11" s="68">
        <v>4.2529716754322863E-2</v>
      </c>
      <c r="AB11" s="68">
        <v>4.2564427545416141E-3</v>
      </c>
      <c r="AC11" s="67">
        <f t="shared" si="0"/>
        <v>227.3213360518557</v>
      </c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17" x14ac:dyDescent="0.25">
      <c r="A12" s="11" t="s">
        <v>84</v>
      </c>
      <c r="B12" s="12" t="s">
        <v>77</v>
      </c>
      <c r="C12" s="13" t="s">
        <v>16</v>
      </c>
      <c r="D12" s="14">
        <v>9</v>
      </c>
      <c r="E12" s="15">
        <v>1823</v>
      </c>
      <c r="F12" s="15">
        <v>349</v>
      </c>
      <c r="G12" s="16">
        <v>8201</v>
      </c>
      <c r="H12" s="17">
        <v>10382</v>
      </c>
      <c r="I12" s="15">
        <v>10662</v>
      </c>
      <c r="J12" s="16">
        <v>36139</v>
      </c>
      <c r="K12" s="14">
        <v>5</v>
      </c>
      <c r="L12" s="15">
        <v>57</v>
      </c>
      <c r="M12" s="15">
        <v>36</v>
      </c>
      <c r="N12" s="15">
        <v>547</v>
      </c>
      <c r="O12" s="18">
        <v>645</v>
      </c>
      <c r="P12" s="15">
        <v>683</v>
      </c>
      <c r="Q12" s="16">
        <v>1928</v>
      </c>
      <c r="R12" s="14">
        <v>4</v>
      </c>
      <c r="S12" s="15">
        <v>1766</v>
      </c>
      <c r="T12" s="15">
        <v>313</v>
      </c>
      <c r="U12" s="15">
        <v>7654</v>
      </c>
      <c r="V12" s="19">
        <v>9737</v>
      </c>
      <c r="W12" s="15">
        <v>9979</v>
      </c>
      <c r="X12" s="16">
        <v>34211</v>
      </c>
      <c r="Y12" s="62">
        <v>645</v>
      </c>
      <c r="Z12" s="63">
        <v>9737</v>
      </c>
      <c r="AA12" s="68">
        <v>3.6293764420406806E-2</v>
      </c>
      <c r="AB12" s="68">
        <v>3.4062103929024083E-3</v>
      </c>
      <c r="AC12" s="67">
        <f t="shared" si="0"/>
        <v>193.99017082707437</v>
      </c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17" x14ac:dyDescent="0.25">
      <c r="A13" s="11" t="s">
        <v>85</v>
      </c>
      <c r="B13" s="12" t="s">
        <v>77</v>
      </c>
      <c r="C13" s="13" t="s">
        <v>10</v>
      </c>
      <c r="D13" s="14">
        <v>163</v>
      </c>
      <c r="E13" s="15">
        <v>540</v>
      </c>
      <c r="F13" s="15">
        <v>582</v>
      </c>
      <c r="G13" s="16">
        <v>7274</v>
      </c>
      <c r="H13" s="17">
        <v>8559</v>
      </c>
      <c r="I13" s="15">
        <v>8923</v>
      </c>
      <c r="J13" s="16">
        <v>25416</v>
      </c>
      <c r="K13" s="14">
        <v>28</v>
      </c>
      <c r="L13" s="15">
        <v>121</v>
      </c>
      <c r="M13" s="15">
        <v>262</v>
      </c>
      <c r="N13" s="15">
        <v>1693</v>
      </c>
      <c r="O13" s="18">
        <v>2104</v>
      </c>
      <c r="P13" s="15">
        <v>1846</v>
      </c>
      <c r="Q13" s="16">
        <v>5075</v>
      </c>
      <c r="R13" s="14">
        <v>135</v>
      </c>
      <c r="S13" s="15">
        <v>419</v>
      </c>
      <c r="T13" s="15">
        <v>320</v>
      </c>
      <c r="U13" s="15">
        <v>5581</v>
      </c>
      <c r="V13" s="19">
        <v>6455</v>
      </c>
      <c r="W13" s="15">
        <v>7077</v>
      </c>
      <c r="X13" s="16">
        <v>20341</v>
      </c>
      <c r="Y13" s="64">
        <v>2104</v>
      </c>
      <c r="Z13" s="65">
        <v>6455</v>
      </c>
      <c r="AA13" s="68">
        <v>2.4060413816753206E-2</v>
      </c>
      <c r="AB13" s="68">
        <v>1.1111111111111112E-2</v>
      </c>
      <c r="AC13" s="67">
        <f t="shared" si="0"/>
        <v>128.60291185054589</v>
      </c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7" x14ac:dyDescent="0.25">
      <c r="A14" s="11" t="s">
        <v>86</v>
      </c>
      <c r="B14" s="12" t="s">
        <v>77</v>
      </c>
      <c r="C14" s="13" t="s">
        <v>11</v>
      </c>
      <c r="D14" s="14">
        <v>720</v>
      </c>
      <c r="E14" s="15">
        <v>738</v>
      </c>
      <c r="F14" s="15">
        <v>139</v>
      </c>
      <c r="G14" s="16">
        <v>7501</v>
      </c>
      <c r="H14" s="17">
        <v>9098</v>
      </c>
      <c r="I14" s="15">
        <v>7683</v>
      </c>
      <c r="J14" s="16">
        <v>21975</v>
      </c>
      <c r="K14" s="14">
        <v>79</v>
      </c>
      <c r="L14" s="15">
        <v>551</v>
      </c>
      <c r="M14" s="15">
        <v>119</v>
      </c>
      <c r="N14" s="15">
        <v>4151</v>
      </c>
      <c r="O14" s="18">
        <v>4900</v>
      </c>
      <c r="P14" s="15">
        <v>4292</v>
      </c>
      <c r="Q14" s="16">
        <v>12564</v>
      </c>
      <c r="R14" s="14">
        <v>641</v>
      </c>
      <c r="S14" s="15">
        <v>187</v>
      </c>
      <c r="T14" s="15">
        <v>20</v>
      </c>
      <c r="U14" s="15">
        <v>3350</v>
      </c>
      <c r="V14" s="19">
        <v>4198</v>
      </c>
      <c r="W14" s="15">
        <v>3391</v>
      </c>
      <c r="X14" s="16">
        <v>9411</v>
      </c>
      <c r="Y14" s="62">
        <v>4900</v>
      </c>
      <c r="Z14" s="63">
        <v>4198</v>
      </c>
      <c r="AA14" s="68">
        <v>1.564765564720836E-2</v>
      </c>
      <c r="AB14" s="68">
        <v>2.5876637093367131E-2</v>
      </c>
      <c r="AC14" s="67">
        <f t="shared" si="0"/>
        <v>83.636719434328683</v>
      </c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7" x14ac:dyDescent="0.25">
      <c r="A15" s="11" t="s">
        <v>87</v>
      </c>
      <c r="B15" s="12" t="s">
        <v>77</v>
      </c>
      <c r="C15" s="13" t="s">
        <v>2</v>
      </c>
      <c r="D15" s="14">
        <v>1612</v>
      </c>
      <c r="E15" s="15">
        <v>1197</v>
      </c>
      <c r="F15" s="15">
        <v>1409</v>
      </c>
      <c r="G15" s="16">
        <v>12629</v>
      </c>
      <c r="H15" s="17">
        <v>16847</v>
      </c>
      <c r="I15" s="15">
        <v>13812</v>
      </c>
      <c r="J15" s="16">
        <v>38688</v>
      </c>
      <c r="K15" s="14">
        <v>59</v>
      </c>
      <c r="L15" s="15">
        <v>36</v>
      </c>
      <c r="M15" s="15">
        <v>59</v>
      </c>
      <c r="N15" s="15">
        <v>891</v>
      </c>
      <c r="O15" s="18">
        <v>1045</v>
      </c>
      <c r="P15" s="15">
        <v>941</v>
      </c>
      <c r="Q15" s="16">
        <v>2538</v>
      </c>
      <c r="R15" s="14">
        <v>1553</v>
      </c>
      <c r="S15" s="15">
        <v>1161</v>
      </c>
      <c r="T15" s="15">
        <v>1350</v>
      </c>
      <c r="U15" s="15">
        <v>11738</v>
      </c>
      <c r="V15" s="19">
        <v>15802</v>
      </c>
      <c r="W15" s="15">
        <v>12871</v>
      </c>
      <c r="X15" s="16">
        <v>36150</v>
      </c>
      <c r="Y15" s="64">
        <v>1045</v>
      </c>
      <c r="Z15" s="65">
        <v>15802</v>
      </c>
      <c r="AA15" s="68">
        <v>5.8900489408572294E-2</v>
      </c>
      <c r="AB15" s="68">
        <v>5.5185889311364592E-3</v>
      </c>
      <c r="AC15" s="67">
        <f t="shared" si="0"/>
        <v>314.8231158888189</v>
      </c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7" x14ac:dyDescent="0.25">
      <c r="A16" s="11" t="s">
        <v>88</v>
      </c>
      <c r="B16" s="12" t="s">
        <v>77</v>
      </c>
      <c r="C16" s="13" t="s">
        <v>29</v>
      </c>
      <c r="D16" s="14">
        <v>10</v>
      </c>
      <c r="E16" s="15">
        <v>67</v>
      </c>
      <c r="F16" s="15">
        <v>419</v>
      </c>
      <c r="G16" s="16">
        <v>1432</v>
      </c>
      <c r="H16" s="17">
        <v>1928</v>
      </c>
      <c r="I16" s="15">
        <v>1858</v>
      </c>
      <c r="J16" s="16">
        <v>5089</v>
      </c>
      <c r="K16" s="14">
        <v>0</v>
      </c>
      <c r="L16" s="15">
        <v>17</v>
      </c>
      <c r="M16" s="15">
        <v>57</v>
      </c>
      <c r="N16" s="15">
        <v>333</v>
      </c>
      <c r="O16" s="18">
        <v>407</v>
      </c>
      <c r="P16" s="15">
        <v>438</v>
      </c>
      <c r="Q16" s="16">
        <v>1182</v>
      </c>
      <c r="R16" s="14">
        <v>10</v>
      </c>
      <c r="S16" s="15">
        <v>50</v>
      </c>
      <c r="T16" s="15">
        <v>362</v>
      </c>
      <c r="U16" s="15">
        <v>1099</v>
      </c>
      <c r="V16" s="19">
        <v>1521</v>
      </c>
      <c r="W16" s="15">
        <v>1420</v>
      </c>
      <c r="X16" s="16">
        <v>3907</v>
      </c>
      <c r="Y16" s="62">
        <v>407</v>
      </c>
      <c r="Z16" s="63">
        <v>1521</v>
      </c>
      <c r="AA16" s="68">
        <v>5.6693864314921183E-3</v>
      </c>
      <c r="AB16" s="68">
        <v>2.1493451626531474E-3</v>
      </c>
      <c r="AC16" s="67">
        <f t="shared" si="0"/>
        <v>30.302870476325371</v>
      </c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7" x14ac:dyDescent="0.25">
      <c r="A17" s="11" t="s">
        <v>89</v>
      </c>
      <c r="B17" s="12" t="s">
        <v>77</v>
      </c>
      <c r="C17" s="13" t="s">
        <v>90</v>
      </c>
      <c r="D17" s="14">
        <v>40</v>
      </c>
      <c r="E17" s="15">
        <v>44</v>
      </c>
      <c r="F17" s="15">
        <v>599</v>
      </c>
      <c r="G17" s="16">
        <v>5452</v>
      </c>
      <c r="H17" s="17">
        <v>6135</v>
      </c>
      <c r="I17" s="15">
        <v>6576</v>
      </c>
      <c r="J17" s="16">
        <v>18513</v>
      </c>
      <c r="K17" s="14">
        <v>14</v>
      </c>
      <c r="L17" s="15">
        <v>7</v>
      </c>
      <c r="M17" s="15">
        <v>141</v>
      </c>
      <c r="N17" s="15">
        <v>1783</v>
      </c>
      <c r="O17" s="18">
        <v>1945</v>
      </c>
      <c r="P17" s="15">
        <v>2172</v>
      </c>
      <c r="Q17" s="16">
        <v>5977</v>
      </c>
      <c r="R17" s="14">
        <v>26</v>
      </c>
      <c r="S17" s="15">
        <v>37</v>
      </c>
      <c r="T17" s="15">
        <v>458</v>
      </c>
      <c r="U17" s="15">
        <v>3669</v>
      </c>
      <c r="V17" s="19">
        <v>4190</v>
      </c>
      <c r="W17" s="15">
        <v>4404</v>
      </c>
      <c r="X17" s="16">
        <v>12536</v>
      </c>
      <c r="Y17" s="64">
        <v>1945</v>
      </c>
      <c r="Z17" s="65">
        <v>4190</v>
      </c>
      <c r="AA17" s="68">
        <v>1.5617836389186046E-2</v>
      </c>
      <c r="AB17" s="68">
        <v>1.0271440642163076E-2</v>
      </c>
      <c r="AC17" s="67">
        <f t="shared" si="0"/>
        <v>83.477335500199416</v>
      </c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7" x14ac:dyDescent="0.25">
      <c r="A18" s="11" t="s">
        <v>91</v>
      </c>
      <c r="B18" s="12" t="s">
        <v>77</v>
      </c>
      <c r="C18" s="13" t="s">
        <v>23</v>
      </c>
      <c r="D18" s="14">
        <v>39</v>
      </c>
      <c r="E18" s="15">
        <v>331</v>
      </c>
      <c r="F18" s="15">
        <v>519</v>
      </c>
      <c r="G18" s="16">
        <v>6157</v>
      </c>
      <c r="H18" s="17">
        <v>7046</v>
      </c>
      <c r="I18" s="15">
        <v>6624</v>
      </c>
      <c r="J18" s="16">
        <v>24037</v>
      </c>
      <c r="K18" s="14">
        <v>14</v>
      </c>
      <c r="L18" s="15">
        <v>277</v>
      </c>
      <c r="M18" s="15">
        <v>361</v>
      </c>
      <c r="N18" s="15">
        <v>3491</v>
      </c>
      <c r="O18" s="18">
        <v>4143</v>
      </c>
      <c r="P18" s="15">
        <v>3841</v>
      </c>
      <c r="Q18" s="16">
        <v>13768</v>
      </c>
      <c r="R18" s="14">
        <v>25</v>
      </c>
      <c r="S18" s="15">
        <v>54</v>
      </c>
      <c r="T18" s="15">
        <v>158</v>
      </c>
      <c r="U18" s="15">
        <v>2666</v>
      </c>
      <c r="V18" s="19">
        <v>2903</v>
      </c>
      <c r="W18" s="15">
        <v>2783</v>
      </c>
      <c r="X18" s="16">
        <v>10269</v>
      </c>
      <c r="Y18" s="62">
        <v>4143</v>
      </c>
      <c r="Z18" s="63">
        <v>2903</v>
      </c>
      <c r="AA18" s="68">
        <v>1.0820663254846562E-2</v>
      </c>
      <c r="AB18" s="68">
        <v>2.1878960709759188E-2</v>
      </c>
      <c r="AC18" s="67">
        <f t="shared" si="0"/>
        <v>57.836445097154872</v>
      </c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7" x14ac:dyDescent="0.25">
      <c r="A19" s="11" t="s">
        <v>92</v>
      </c>
      <c r="B19" s="12" t="s">
        <v>77</v>
      </c>
      <c r="C19" s="13" t="s">
        <v>93</v>
      </c>
      <c r="D19" s="14">
        <v>32</v>
      </c>
      <c r="E19" s="15">
        <v>665</v>
      </c>
      <c r="F19" s="15">
        <v>399</v>
      </c>
      <c r="G19" s="16">
        <v>6794</v>
      </c>
      <c r="H19" s="17">
        <v>7890</v>
      </c>
      <c r="I19" s="15">
        <v>9100</v>
      </c>
      <c r="J19" s="16">
        <v>26571</v>
      </c>
      <c r="K19" s="14">
        <v>17</v>
      </c>
      <c r="L19" s="15">
        <v>5</v>
      </c>
      <c r="M19" s="15">
        <v>53</v>
      </c>
      <c r="N19" s="15">
        <v>407</v>
      </c>
      <c r="O19" s="18">
        <v>482</v>
      </c>
      <c r="P19" s="15">
        <v>445</v>
      </c>
      <c r="Q19" s="16">
        <v>1213</v>
      </c>
      <c r="R19" s="14">
        <v>15</v>
      </c>
      <c r="S19" s="15">
        <v>660</v>
      </c>
      <c r="T19" s="15">
        <v>346</v>
      </c>
      <c r="U19" s="15">
        <v>6387</v>
      </c>
      <c r="V19" s="19">
        <v>7408</v>
      </c>
      <c r="W19" s="15">
        <v>8655</v>
      </c>
      <c r="X19" s="16">
        <v>25358</v>
      </c>
      <c r="Y19" s="64">
        <v>482</v>
      </c>
      <c r="Z19" s="65">
        <v>7408</v>
      </c>
      <c r="AA19" s="68">
        <v>2.7612632928661153E-2</v>
      </c>
      <c r="AB19" s="68">
        <v>2.5454161385720323E-3</v>
      </c>
      <c r="AC19" s="67">
        <f t="shared" si="0"/>
        <v>147.58952300369387</v>
      </c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7" x14ac:dyDescent="0.25">
      <c r="A20" s="11" t="s">
        <v>94</v>
      </c>
      <c r="B20" s="12" t="s">
        <v>77</v>
      </c>
      <c r="C20" s="13" t="s">
        <v>45</v>
      </c>
      <c r="D20" s="14">
        <v>3</v>
      </c>
      <c r="E20" s="15">
        <v>42</v>
      </c>
      <c r="F20" s="15">
        <v>441</v>
      </c>
      <c r="G20" s="16">
        <v>3507</v>
      </c>
      <c r="H20" s="17">
        <v>3993</v>
      </c>
      <c r="I20" s="15">
        <v>5059</v>
      </c>
      <c r="J20" s="16">
        <v>16353</v>
      </c>
      <c r="K20" s="14">
        <v>1</v>
      </c>
      <c r="L20" s="15">
        <v>0</v>
      </c>
      <c r="M20" s="15">
        <v>110</v>
      </c>
      <c r="N20" s="15">
        <v>364</v>
      </c>
      <c r="O20" s="18">
        <v>475</v>
      </c>
      <c r="P20" s="15">
        <v>541</v>
      </c>
      <c r="Q20" s="16">
        <v>1487</v>
      </c>
      <c r="R20" s="14">
        <v>2</v>
      </c>
      <c r="S20" s="15">
        <v>42</v>
      </c>
      <c r="T20" s="15">
        <v>331</v>
      </c>
      <c r="U20" s="15">
        <v>3143</v>
      </c>
      <c r="V20" s="19">
        <v>3518</v>
      </c>
      <c r="W20" s="15">
        <v>4518</v>
      </c>
      <c r="X20" s="16">
        <v>14866</v>
      </c>
      <c r="Y20" s="62">
        <v>475</v>
      </c>
      <c r="Z20" s="63">
        <v>3518</v>
      </c>
      <c r="AA20" s="68">
        <v>1.3113018715311816E-2</v>
      </c>
      <c r="AB20" s="68">
        <v>2.5084495141529362E-3</v>
      </c>
      <c r="AC20" s="67">
        <f t="shared" si="0"/>
        <v>70.089085033341661</v>
      </c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7" x14ac:dyDescent="0.25">
      <c r="A21" s="11" t="s">
        <v>95</v>
      </c>
      <c r="B21" s="12" t="s">
        <v>77</v>
      </c>
      <c r="C21" s="13" t="s">
        <v>36</v>
      </c>
      <c r="D21" s="14">
        <v>63</v>
      </c>
      <c r="E21" s="15">
        <v>278</v>
      </c>
      <c r="F21" s="15">
        <v>184</v>
      </c>
      <c r="G21" s="16">
        <v>3078</v>
      </c>
      <c r="H21" s="17">
        <v>3603</v>
      </c>
      <c r="I21" s="15">
        <v>3704</v>
      </c>
      <c r="J21" s="16">
        <v>9935</v>
      </c>
      <c r="K21" s="14">
        <v>8</v>
      </c>
      <c r="L21" s="15">
        <v>156</v>
      </c>
      <c r="M21" s="15">
        <v>60</v>
      </c>
      <c r="N21" s="15">
        <v>542</v>
      </c>
      <c r="O21" s="18">
        <v>766</v>
      </c>
      <c r="P21" s="15">
        <v>616</v>
      </c>
      <c r="Q21" s="16">
        <v>1620</v>
      </c>
      <c r="R21" s="14">
        <v>55</v>
      </c>
      <c r="S21" s="15">
        <v>122</v>
      </c>
      <c r="T21" s="15">
        <v>124</v>
      </c>
      <c r="U21" s="15">
        <v>2536</v>
      </c>
      <c r="V21" s="19">
        <v>2837</v>
      </c>
      <c r="W21" s="15">
        <v>3088</v>
      </c>
      <c r="X21" s="16">
        <v>8315</v>
      </c>
      <c r="Y21" s="64">
        <v>766</v>
      </c>
      <c r="Z21" s="65">
        <v>2837</v>
      </c>
      <c r="AA21" s="68">
        <v>1.0574654376162486E-2</v>
      </c>
      <c r="AB21" s="68">
        <v>4.0452049007182085E-3</v>
      </c>
      <c r="AC21" s="67">
        <f t="shared" si="0"/>
        <v>56.521527640588488</v>
      </c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7" x14ac:dyDescent="0.25">
      <c r="A22" s="11" t="s">
        <v>96</v>
      </c>
      <c r="B22" s="12" t="s">
        <v>77</v>
      </c>
      <c r="C22" s="13" t="s">
        <v>34</v>
      </c>
      <c r="D22" s="14">
        <v>358</v>
      </c>
      <c r="E22" s="15">
        <v>1578</v>
      </c>
      <c r="F22" s="15">
        <v>427</v>
      </c>
      <c r="G22" s="16">
        <v>5417</v>
      </c>
      <c r="H22" s="17">
        <v>7780</v>
      </c>
      <c r="I22" s="15">
        <v>7537</v>
      </c>
      <c r="J22" s="16">
        <v>19777</v>
      </c>
      <c r="K22" s="14">
        <v>0</v>
      </c>
      <c r="L22" s="15">
        <v>129</v>
      </c>
      <c r="M22" s="15">
        <v>47</v>
      </c>
      <c r="N22" s="15">
        <v>349</v>
      </c>
      <c r="O22" s="18">
        <v>525</v>
      </c>
      <c r="P22" s="15">
        <v>434</v>
      </c>
      <c r="Q22" s="16">
        <v>1040</v>
      </c>
      <c r="R22" s="14">
        <v>358</v>
      </c>
      <c r="S22" s="15">
        <v>1449</v>
      </c>
      <c r="T22" s="15">
        <v>380</v>
      </c>
      <c r="U22" s="15">
        <v>5068</v>
      </c>
      <c r="V22" s="19">
        <v>7255</v>
      </c>
      <c r="W22" s="15">
        <v>7103</v>
      </c>
      <c r="X22" s="16">
        <v>18737</v>
      </c>
      <c r="Y22" s="62">
        <v>525</v>
      </c>
      <c r="Z22" s="63">
        <v>7255</v>
      </c>
      <c r="AA22" s="68">
        <v>2.7042339618984432E-2</v>
      </c>
      <c r="AB22" s="68">
        <v>2.7724968314321928E-3</v>
      </c>
      <c r="AC22" s="67">
        <f t="shared" si="0"/>
        <v>144.5413052634718</v>
      </c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7" x14ac:dyDescent="0.25">
      <c r="A23" s="11" t="s">
        <v>97</v>
      </c>
      <c r="B23" s="12" t="s">
        <v>77</v>
      </c>
      <c r="C23" s="13" t="s">
        <v>98</v>
      </c>
      <c r="D23" s="14">
        <v>189</v>
      </c>
      <c r="E23" s="15">
        <v>194</v>
      </c>
      <c r="F23" s="15">
        <v>587</v>
      </c>
      <c r="G23" s="16">
        <v>3992</v>
      </c>
      <c r="H23" s="17">
        <v>4962</v>
      </c>
      <c r="I23" s="15">
        <v>4074</v>
      </c>
      <c r="J23" s="16">
        <v>15154</v>
      </c>
      <c r="K23" s="14">
        <v>8</v>
      </c>
      <c r="L23" s="15">
        <v>29</v>
      </c>
      <c r="M23" s="15">
        <v>74</v>
      </c>
      <c r="N23" s="15">
        <v>481</v>
      </c>
      <c r="O23" s="18">
        <v>592</v>
      </c>
      <c r="P23" s="15">
        <v>545</v>
      </c>
      <c r="Q23" s="16">
        <v>1769</v>
      </c>
      <c r="R23" s="14">
        <v>181</v>
      </c>
      <c r="S23" s="15">
        <v>165</v>
      </c>
      <c r="T23" s="15">
        <v>513</v>
      </c>
      <c r="U23" s="15">
        <v>3511</v>
      </c>
      <c r="V23" s="19">
        <v>4370</v>
      </c>
      <c r="W23" s="15">
        <v>3529</v>
      </c>
      <c r="X23" s="16">
        <v>13385</v>
      </c>
      <c r="Y23" s="64">
        <v>592</v>
      </c>
      <c r="Z23" s="65">
        <v>4370</v>
      </c>
      <c r="AA23" s="68">
        <v>1.6288769694688073E-2</v>
      </c>
      <c r="AB23" s="68">
        <v>3.1263202365863964E-3</v>
      </c>
      <c r="AC23" s="67">
        <f t="shared" si="0"/>
        <v>87.063474018107755</v>
      </c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7" x14ac:dyDescent="0.25">
      <c r="A24" s="11" t="s">
        <v>99</v>
      </c>
      <c r="B24" s="12" t="s">
        <v>77</v>
      </c>
      <c r="C24" s="13" t="s">
        <v>30</v>
      </c>
      <c r="D24" s="14">
        <v>1578</v>
      </c>
      <c r="E24" s="15">
        <v>343</v>
      </c>
      <c r="F24" s="15">
        <v>434</v>
      </c>
      <c r="G24" s="16">
        <v>4761</v>
      </c>
      <c r="H24" s="17">
        <v>7116</v>
      </c>
      <c r="I24" s="15">
        <v>5830</v>
      </c>
      <c r="J24" s="16">
        <v>14824</v>
      </c>
      <c r="K24" s="14">
        <v>85</v>
      </c>
      <c r="L24" s="15">
        <v>121</v>
      </c>
      <c r="M24" s="15">
        <v>117</v>
      </c>
      <c r="N24" s="15">
        <v>1720</v>
      </c>
      <c r="O24" s="18">
        <v>2043</v>
      </c>
      <c r="P24" s="15">
        <v>2115</v>
      </c>
      <c r="Q24" s="16">
        <v>5669</v>
      </c>
      <c r="R24" s="14">
        <v>1493</v>
      </c>
      <c r="S24" s="15">
        <v>222</v>
      </c>
      <c r="T24" s="15">
        <v>317</v>
      </c>
      <c r="U24" s="15">
        <v>3041</v>
      </c>
      <c r="V24" s="19">
        <v>5073</v>
      </c>
      <c r="W24" s="15">
        <v>3715</v>
      </c>
      <c r="X24" s="16">
        <v>9155</v>
      </c>
      <c r="Y24" s="62">
        <v>2043</v>
      </c>
      <c r="Z24" s="63">
        <v>5073</v>
      </c>
      <c r="AA24" s="68">
        <v>1.8909136993398763E-2</v>
      </c>
      <c r="AB24" s="68">
        <v>1.0788973384030419E-2</v>
      </c>
      <c r="AC24" s="67">
        <f t="shared" si="0"/>
        <v>101.06933722971638</v>
      </c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7" x14ac:dyDescent="0.25">
      <c r="A25" s="11" t="s">
        <v>100</v>
      </c>
      <c r="B25" s="12" t="s">
        <v>77</v>
      </c>
      <c r="C25" s="13" t="s">
        <v>12</v>
      </c>
      <c r="D25" s="14">
        <v>123</v>
      </c>
      <c r="E25" s="15">
        <v>376</v>
      </c>
      <c r="F25" s="15">
        <v>532</v>
      </c>
      <c r="G25" s="16">
        <v>9329</v>
      </c>
      <c r="H25" s="17">
        <v>10360</v>
      </c>
      <c r="I25" s="15">
        <v>10160</v>
      </c>
      <c r="J25" s="16">
        <v>28662</v>
      </c>
      <c r="K25" s="14">
        <v>15</v>
      </c>
      <c r="L25" s="15">
        <v>198</v>
      </c>
      <c r="M25" s="15">
        <v>343</v>
      </c>
      <c r="N25" s="15">
        <v>5669</v>
      </c>
      <c r="O25" s="18">
        <v>6225</v>
      </c>
      <c r="P25" s="15">
        <v>5936</v>
      </c>
      <c r="Q25" s="16">
        <v>17871</v>
      </c>
      <c r="R25" s="14">
        <v>108</v>
      </c>
      <c r="S25" s="15">
        <v>178</v>
      </c>
      <c r="T25" s="15">
        <v>189</v>
      </c>
      <c r="U25" s="15">
        <v>3660</v>
      </c>
      <c r="V25" s="19">
        <v>4135</v>
      </c>
      <c r="W25" s="15">
        <v>4224</v>
      </c>
      <c r="X25" s="16">
        <v>10791</v>
      </c>
      <c r="Y25" s="64">
        <v>6225</v>
      </c>
      <c r="Z25" s="65">
        <v>4135</v>
      </c>
      <c r="AA25" s="68">
        <v>1.5412828990282649E-2</v>
      </c>
      <c r="AB25" s="68">
        <v>3.2873891001267426E-2</v>
      </c>
      <c r="AC25" s="67">
        <f t="shared" si="0"/>
        <v>82.381570953060759</v>
      </c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7" x14ac:dyDescent="0.25">
      <c r="A26" s="11" t="s">
        <v>101</v>
      </c>
      <c r="B26" s="12" t="s">
        <v>77</v>
      </c>
      <c r="C26" s="13" t="s">
        <v>3</v>
      </c>
      <c r="D26" s="14">
        <v>55</v>
      </c>
      <c r="E26" s="15">
        <v>2160</v>
      </c>
      <c r="F26" s="15">
        <v>767</v>
      </c>
      <c r="G26" s="16">
        <v>8256</v>
      </c>
      <c r="H26" s="17">
        <v>11238</v>
      </c>
      <c r="I26" s="15">
        <v>12282</v>
      </c>
      <c r="J26" s="16">
        <v>29737</v>
      </c>
      <c r="K26" s="14">
        <v>0</v>
      </c>
      <c r="L26" s="15">
        <v>101</v>
      </c>
      <c r="M26" s="15">
        <v>419</v>
      </c>
      <c r="N26" s="15">
        <v>672</v>
      </c>
      <c r="O26" s="18">
        <v>1192</v>
      </c>
      <c r="P26" s="15">
        <v>940</v>
      </c>
      <c r="Q26" s="16">
        <v>2200</v>
      </c>
      <c r="R26" s="14">
        <v>55</v>
      </c>
      <c r="S26" s="15">
        <v>2059</v>
      </c>
      <c r="T26" s="15">
        <v>348</v>
      </c>
      <c r="U26" s="15">
        <v>7584</v>
      </c>
      <c r="V26" s="19">
        <v>10046</v>
      </c>
      <c r="W26" s="15">
        <v>11342</v>
      </c>
      <c r="X26" s="16">
        <v>27537</v>
      </c>
      <c r="Y26" s="62">
        <v>1192</v>
      </c>
      <c r="Z26" s="63">
        <v>10046</v>
      </c>
      <c r="AA26" s="68">
        <v>3.7445533261518622E-2</v>
      </c>
      <c r="AB26" s="68">
        <v>6.2948880439374737E-3</v>
      </c>
      <c r="AC26" s="67">
        <f t="shared" si="0"/>
        <v>200.14637528281705</v>
      </c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7" x14ac:dyDescent="0.25">
      <c r="A27" s="11" t="s">
        <v>102</v>
      </c>
      <c r="B27" s="12" t="s">
        <v>77</v>
      </c>
      <c r="C27" s="13" t="s">
        <v>13</v>
      </c>
      <c r="D27" s="14">
        <v>24</v>
      </c>
      <c r="E27" s="15">
        <v>89</v>
      </c>
      <c r="F27" s="15">
        <v>346</v>
      </c>
      <c r="G27" s="16">
        <v>2877</v>
      </c>
      <c r="H27" s="17">
        <v>3336</v>
      </c>
      <c r="I27" s="15">
        <v>3185</v>
      </c>
      <c r="J27" s="16">
        <v>8763</v>
      </c>
      <c r="K27" s="14">
        <v>21</v>
      </c>
      <c r="L27" s="15">
        <v>10</v>
      </c>
      <c r="M27" s="15">
        <v>203</v>
      </c>
      <c r="N27" s="15">
        <v>1402</v>
      </c>
      <c r="O27" s="18">
        <v>1636</v>
      </c>
      <c r="P27" s="15">
        <v>1513</v>
      </c>
      <c r="Q27" s="16">
        <v>4380</v>
      </c>
      <c r="R27" s="14">
        <v>3</v>
      </c>
      <c r="S27" s="15">
        <v>79</v>
      </c>
      <c r="T27" s="15">
        <v>143</v>
      </c>
      <c r="U27" s="15">
        <v>1475</v>
      </c>
      <c r="V27" s="19">
        <v>1700</v>
      </c>
      <c r="W27" s="15">
        <v>1672</v>
      </c>
      <c r="X27" s="16">
        <v>4383</v>
      </c>
      <c r="Y27" s="64">
        <v>1636</v>
      </c>
      <c r="Z27" s="65">
        <v>1700</v>
      </c>
      <c r="AA27" s="68">
        <v>6.3365923297413551E-3</v>
      </c>
      <c r="AB27" s="68">
        <v>8.6396282213772706E-3</v>
      </c>
      <c r="AC27" s="67">
        <f t="shared" si="0"/>
        <v>33.86908600246754</v>
      </c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7" x14ac:dyDescent="0.25">
      <c r="A28" s="11" t="s">
        <v>103</v>
      </c>
      <c r="B28" s="12" t="s">
        <v>77</v>
      </c>
      <c r="C28" s="13" t="s">
        <v>52</v>
      </c>
      <c r="D28" s="14">
        <v>26</v>
      </c>
      <c r="E28" s="15">
        <v>682</v>
      </c>
      <c r="F28" s="15">
        <v>179</v>
      </c>
      <c r="G28" s="16">
        <v>8624</v>
      </c>
      <c r="H28" s="17">
        <v>9511</v>
      </c>
      <c r="I28" s="15">
        <v>11655</v>
      </c>
      <c r="J28" s="16">
        <v>37666</v>
      </c>
      <c r="K28" s="14">
        <v>6</v>
      </c>
      <c r="L28" s="15">
        <v>191</v>
      </c>
      <c r="M28" s="15">
        <v>81</v>
      </c>
      <c r="N28" s="15">
        <v>899</v>
      </c>
      <c r="O28" s="18">
        <v>1177</v>
      </c>
      <c r="P28" s="15">
        <v>1095</v>
      </c>
      <c r="Q28" s="16">
        <v>2898</v>
      </c>
      <c r="R28" s="14">
        <v>20</v>
      </c>
      <c r="S28" s="15">
        <v>491</v>
      </c>
      <c r="T28" s="15">
        <v>98</v>
      </c>
      <c r="U28" s="15">
        <v>7725</v>
      </c>
      <c r="V28" s="19">
        <v>8334</v>
      </c>
      <c r="W28" s="15">
        <v>10560</v>
      </c>
      <c r="X28" s="16">
        <v>34768</v>
      </c>
      <c r="Y28" s="62">
        <v>1177</v>
      </c>
      <c r="Z28" s="63">
        <v>8334</v>
      </c>
      <c r="AA28" s="68">
        <v>3.1064212044743796E-2</v>
      </c>
      <c r="AB28" s="68">
        <v>6.2156738487536963E-3</v>
      </c>
      <c r="AC28" s="67">
        <f t="shared" si="0"/>
        <v>166.03821337915559</v>
      </c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7" x14ac:dyDescent="0.25">
      <c r="A29" s="11" t="s">
        <v>104</v>
      </c>
      <c r="B29" s="12" t="s">
        <v>77</v>
      </c>
      <c r="C29" s="13" t="s">
        <v>28</v>
      </c>
      <c r="D29" s="14">
        <v>1222</v>
      </c>
      <c r="E29" s="15">
        <v>710</v>
      </c>
      <c r="F29" s="15">
        <v>709</v>
      </c>
      <c r="G29" s="16">
        <v>8995</v>
      </c>
      <c r="H29" s="17">
        <v>11636</v>
      </c>
      <c r="I29" s="15">
        <v>11479</v>
      </c>
      <c r="J29" s="16">
        <v>28586</v>
      </c>
      <c r="K29" s="14">
        <v>126</v>
      </c>
      <c r="L29" s="15">
        <v>354</v>
      </c>
      <c r="M29" s="15">
        <v>297</v>
      </c>
      <c r="N29" s="15">
        <v>3663</v>
      </c>
      <c r="O29" s="18">
        <v>4440</v>
      </c>
      <c r="P29" s="15">
        <v>4946</v>
      </c>
      <c r="Q29" s="16">
        <v>11892</v>
      </c>
      <c r="R29" s="14">
        <v>1096</v>
      </c>
      <c r="S29" s="15">
        <v>356</v>
      </c>
      <c r="T29" s="15">
        <v>412</v>
      </c>
      <c r="U29" s="15">
        <v>5332</v>
      </c>
      <c r="V29" s="19">
        <v>7196</v>
      </c>
      <c r="W29" s="15">
        <v>6533</v>
      </c>
      <c r="X29" s="16">
        <v>16694</v>
      </c>
      <c r="Y29" s="64">
        <v>4440</v>
      </c>
      <c r="Z29" s="65">
        <v>7196</v>
      </c>
      <c r="AA29" s="68">
        <v>2.6822422591069879E-2</v>
      </c>
      <c r="AB29" s="68">
        <v>2.3447401774397972E-2</v>
      </c>
      <c r="AC29" s="67">
        <f t="shared" si="0"/>
        <v>143.36584874926851</v>
      </c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7" x14ac:dyDescent="0.25">
      <c r="A30" s="11" t="s">
        <v>105</v>
      </c>
      <c r="B30" s="12" t="s">
        <v>77</v>
      </c>
      <c r="C30" s="13" t="s">
        <v>38</v>
      </c>
      <c r="D30" s="14">
        <v>160</v>
      </c>
      <c r="E30" s="15">
        <v>3</v>
      </c>
      <c r="F30" s="15">
        <v>480</v>
      </c>
      <c r="G30" s="16">
        <v>2172</v>
      </c>
      <c r="H30" s="17">
        <v>2815</v>
      </c>
      <c r="I30" s="15">
        <v>2681</v>
      </c>
      <c r="J30" s="16">
        <v>7125</v>
      </c>
      <c r="K30" s="14">
        <v>5</v>
      </c>
      <c r="L30" s="15">
        <v>1</v>
      </c>
      <c r="M30" s="15">
        <v>146</v>
      </c>
      <c r="N30" s="15">
        <v>557</v>
      </c>
      <c r="O30" s="18">
        <v>709</v>
      </c>
      <c r="P30" s="15">
        <v>712</v>
      </c>
      <c r="Q30" s="16">
        <v>1911</v>
      </c>
      <c r="R30" s="14">
        <v>155</v>
      </c>
      <c r="S30" s="15">
        <v>2</v>
      </c>
      <c r="T30" s="15">
        <v>334</v>
      </c>
      <c r="U30" s="15">
        <v>1615</v>
      </c>
      <c r="V30" s="19">
        <v>2106</v>
      </c>
      <c r="W30" s="15">
        <v>1969</v>
      </c>
      <c r="X30" s="16">
        <v>5214</v>
      </c>
      <c r="Y30" s="62">
        <v>709</v>
      </c>
      <c r="Z30" s="63">
        <v>2106</v>
      </c>
      <c r="AA30" s="68">
        <v>7.8499196743737031E-3</v>
      </c>
      <c r="AB30" s="68">
        <v>3.7441909590198563E-3</v>
      </c>
      <c r="AC30" s="67">
        <f t="shared" si="0"/>
        <v>41.957820659527442</v>
      </c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7" x14ac:dyDescent="0.25">
      <c r="A31" s="11" t="s">
        <v>106</v>
      </c>
      <c r="B31" s="12" t="s">
        <v>77</v>
      </c>
      <c r="C31" s="13" t="s">
        <v>4</v>
      </c>
      <c r="D31" s="14">
        <v>525</v>
      </c>
      <c r="E31" s="15">
        <v>757</v>
      </c>
      <c r="F31" s="15">
        <v>781</v>
      </c>
      <c r="G31" s="16">
        <v>9935</v>
      </c>
      <c r="H31" s="17">
        <v>11998</v>
      </c>
      <c r="I31" s="15">
        <v>12090</v>
      </c>
      <c r="J31" s="16">
        <v>33431</v>
      </c>
      <c r="K31" s="14">
        <v>241</v>
      </c>
      <c r="L31" s="15">
        <v>45</v>
      </c>
      <c r="M31" s="15">
        <v>275</v>
      </c>
      <c r="N31" s="15">
        <v>3700</v>
      </c>
      <c r="O31" s="18">
        <v>4261</v>
      </c>
      <c r="P31" s="15">
        <v>4483</v>
      </c>
      <c r="Q31" s="16">
        <v>12571</v>
      </c>
      <c r="R31" s="14">
        <v>284</v>
      </c>
      <c r="S31" s="15">
        <v>712</v>
      </c>
      <c r="T31" s="15">
        <v>506</v>
      </c>
      <c r="U31" s="15">
        <v>6235</v>
      </c>
      <c r="V31" s="19">
        <v>7737</v>
      </c>
      <c r="W31" s="15">
        <v>7607</v>
      </c>
      <c r="X31" s="16">
        <v>20860</v>
      </c>
      <c r="Y31" s="64">
        <v>4261</v>
      </c>
      <c r="Z31" s="65">
        <v>7737</v>
      </c>
      <c r="AA31" s="68">
        <v>2.8838949914828743E-2</v>
      </c>
      <c r="AB31" s="68">
        <v>2.2502112378538233E-2</v>
      </c>
      <c r="AC31" s="67">
        <f t="shared" si="0"/>
        <v>154.14418729475963</v>
      </c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7" x14ac:dyDescent="0.25">
      <c r="A32" s="11" t="s">
        <v>107</v>
      </c>
      <c r="B32" s="12" t="s">
        <v>77</v>
      </c>
      <c r="C32" s="13" t="s">
        <v>14</v>
      </c>
      <c r="D32" s="14">
        <v>305</v>
      </c>
      <c r="E32" s="15">
        <v>39</v>
      </c>
      <c r="F32" s="15">
        <v>1134</v>
      </c>
      <c r="G32" s="16">
        <v>12429</v>
      </c>
      <c r="H32" s="17">
        <v>13907</v>
      </c>
      <c r="I32" s="15">
        <v>12992</v>
      </c>
      <c r="J32" s="16">
        <v>40244</v>
      </c>
      <c r="K32" s="14">
        <v>176</v>
      </c>
      <c r="L32" s="15">
        <v>28</v>
      </c>
      <c r="M32" s="15">
        <v>871</v>
      </c>
      <c r="N32" s="15">
        <v>10912</v>
      </c>
      <c r="O32" s="18">
        <v>11987</v>
      </c>
      <c r="P32" s="15">
        <v>11435</v>
      </c>
      <c r="Q32" s="16">
        <v>35694</v>
      </c>
      <c r="R32" s="14">
        <v>129</v>
      </c>
      <c r="S32" s="15">
        <v>11</v>
      </c>
      <c r="T32" s="15">
        <v>263</v>
      </c>
      <c r="U32" s="15">
        <v>1517</v>
      </c>
      <c r="V32" s="19">
        <v>1920</v>
      </c>
      <c r="W32" s="15">
        <v>1557</v>
      </c>
      <c r="X32" s="16">
        <v>4550</v>
      </c>
      <c r="Y32" s="62">
        <v>11987</v>
      </c>
      <c r="Z32" s="63">
        <v>1920</v>
      </c>
      <c r="AA32" s="68">
        <v>7.1566219253549421E-3</v>
      </c>
      <c r="AB32" s="68">
        <v>6.3302703844528935E-2</v>
      </c>
      <c r="AC32" s="67">
        <f t="shared" si="0"/>
        <v>38.252144191022168</v>
      </c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7" x14ac:dyDescent="0.25">
      <c r="A33" s="11" t="s">
        <v>108</v>
      </c>
      <c r="B33" s="12" t="s">
        <v>77</v>
      </c>
      <c r="C33" s="13" t="s">
        <v>5</v>
      </c>
      <c r="D33" s="14">
        <v>2</v>
      </c>
      <c r="E33" s="15">
        <v>389</v>
      </c>
      <c r="F33" s="15">
        <v>163</v>
      </c>
      <c r="G33" s="16">
        <v>3657</v>
      </c>
      <c r="H33" s="17">
        <v>4211</v>
      </c>
      <c r="I33" s="15">
        <v>5164</v>
      </c>
      <c r="J33" s="16">
        <v>14952</v>
      </c>
      <c r="K33" s="14">
        <v>0</v>
      </c>
      <c r="L33" s="15">
        <v>53</v>
      </c>
      <c r="M33" s="15">
        <v>56</v>
      </c>
      <c r="N33" s="15">
        <v>493</v>
      </c>
      <c r="O33" s="18">
        <v>602</v>
      </c>
      <c r="P33" s="15">
        <v>644</v>
      </c>
      <c r="Q33" s="16">
        <v>1695</v>
      </c>
      <c r="R33" s="14">
        <v>2</v>
      </c>
      <c r="S33" s="15">
        <v>336</v>
      </c>
      <c r="T33" s="15">
        <v>107</v>
      </c>
      <c r="U33" s="15">
        <v>3164</v>
      </c>
      <c r="V33" s="19">
        <v>3609</v>
      </c>
      <c r="W33" s="15">
        <v>4520</v>
      </c>
      <c r="X33" s="16">
        <v>13257</v>
      </c>
      <c r="Y33" s="64">
        <v>602</v>
      </c>
      <c r="Z33" s="65">
        <v>3609</v>
      </c>
      <c r="AA33" s="68">
        <v>1.3452212775315619E-2</v>
      </c>
      <c r="AB33" s="68">
        <v>3.1791297000422474E-3</v>
      </c>
      <c r="AC33" s="67">
        <f t="shared" si="0"/>
        <v>71.902077284061988</v>
      </c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7" x14ac:dyDescent="0.25">
      <c r="A34" s="11" t="s">
        <v>109</v>
      </c>
      <c r="B34" s="12" t="s">
        <v>77</v>
      </c>
      <c r="C34" s="13" t="s">
        <v>37</v>
      </c>
      <c r="D34" s="14">
        <v>83</v>
      </c>
      <c r="E34" s="15">
        <v>174</v>
      </c>
      <c r="F34" s="15">
        <v>361</v>
      </c>
      <c r="G34" s="16">
        <v>3237</v>
      </c>
      <c r="H34" s="17">
        <v>3855</v>
      </c>
      <c r="I34" s="15">
        <v>3487</v>
      </c>
      <c r="J34" s="16">
        <v>9336</v>
      </c>
      <c r="K34" s="14">
        <v>2</v>
      </c>
      <c r="L34" s="15">
        <v>2</v>
      </c>
      <c r="M34" s="15">
        <v>50</v>
      </c>
      <c r="N34" s="15">
        <v>331</v>
      </c>
      <c r="O34" s="18">
        <v>385</v>
      </c>
      <c r="P34" s="15">
        <v>394</v>
      </c>
      <c r="Q34" s="16">
        <v>1017</v>
      </c>
      <c r="R34" s="14">
        <v>81</v>
      </c>
      <c r="S34" s="15">
        <v>172</v>
      </c>
      <c r="T34" s="15">
        <v>311</v>
      </c>
      <c r="U34" s="15">
        <v>2906</v>
      </c>
      <c r="V34" s="19">
        <v>3470</v>
      </c>
      <c r="W34" s="15">
        <v>3093</v>
      </c>
      <c r="X34" s="16">
        <v>8319</v>
      </c>
      <c r="Y34" s="62">
        <v>385</v>
      </c>
      <c r="Z34" s="63">
        <v>3470</v>
      </c>
      <c r="AA34" s="68">
        <v>1.2934103167177942E-2</v>
      </c>
      <c r="AB34" s="68">
        <v>2.0331643430502745E-3</v>
      </c>
      <c r="AC34" s="67">
        <f t="shared" si="0"/>
        <v>69.132781428566105</v>
      </c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7" x14ac:dyDescent="0.25">
      <c r="A35" s="11" t="s">
        <v>110</v>
      </c>
      <c r="B35" s="12" t="s">
        <v>77</v>
      </c>
      <c r="C35" s="13" t="s">
        <v>39</v>
      </c>
      <c r="D35" s="14">
        <v>19</v>
      </c>
      <c r="E35" s="15">
        <v>888</v>
      </c>
      <c r="F35" s="15">
        <v>298</v>
      </c>
      <c r="G35" s="16">
        <v>2999</v>
      </c>
      <c r="H35" s="17">
        <v>4204</v>
      </c>
      <c r="I35" s="15">
        <v>3902</v>
      </c>
      <c r="J35" s="16">
        <v>9806</v>
      </c>
      <c r="K35" s="14">
        <v>0</v>
      </c>
      <c r="L35" s="15">
        <v>28</v>
      </c>
      <c r="M35" s="15">
        <v>63</v>
      </c>
      <c r="N35" s="15">
        <v>200</v>
      </c>
      <c r="O35" s="18">
        <v>291</v>
      </c>
      <c r="P35" s="15">
        <v>252</v>
      </c>
      <c r="Q35" s="16">
        <v>607</v>
      </c>
      <c r="R35" s="14">
        <v>19</v>
      </c>
      <c r="S35" s="15">
        <v>860</v>
      </c>
      <c r="T35" s="15">
        <v>235</v>
      </c>
      <c r="U35" s="15">
        <v>2799</v>
      </c>
      <c r="V35" s="19">
        <v>3913</v>
      </c>
      <c r="W35" s="15">
        <v>3650</v>
      </c>
      <c r="X35" s="16">
        <v>9199</v>
      </c>
      <c r="Y35" s="64">
        <v>291</v>
      </c>
      <c r="Z35" s="65">
        <v>3913</v>
      </c>
      <c r="AA35" s="68">
        <v>1.4585344580163483E-2</v>
      </c>
      <c r="AB35" s="68">
        <v>1.5367553865652725E-3</v>
      </c>
      <c r="AC35" s="67">
        <f t="shared" si="0"/>
        <v>77.958666780973815</v>
      </c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7" x14ac:dyDescent="0.25">
      <c r="A36" s="11" t="s">
        <v>111</v>
      </c>
      <c r="B36" s="12" t="s">
        <v>77</v>
      </c>
      <c r="C36" s="13" t="s">
        <v>47</v>
      </c>
      <c r="D36" s="14">
        <v>1439</v>
      </c>
      <c r="E36" s="15">
        <v>2347</v>
      </c>
      <c r="F36" s="15">
        <v>2964</v>
      </c>
      <c r="G36" s="16">
        <v>29001</v>
      </c>
      <c r="H36" s="17">
        <v>35751</v>
      </c>
      <c r="I36" s="15">
        <v>31191</v>
      </c>
      <c r="J36" s="16">
        <v>96032</v>
      </c>
      <c r="K36" s="14">
        <v>1149</v>
      </c>
      <c r="L36" s="15">
        <v>1084</v>
      </c>
      <c r="M36" s="15">
        <v>2001</v>
      </c>
      <c r="N36" s="15">
        <v>15317</v>
      </c>
      <c r="O36" s="18">
        <v>19551</v>
      </c>
      <c r="P36" s="15">
        <v>15701</v>
      </c>
      <c r="Q36" s="16">
        <v>47754</v>
      </c>
      <c r="R36" s="14">
        <v>290</v>
      </c>
      <c r="S36" s="15">
        <v>1263</v>
      </c>
      <c r="T36" s="15">
        <v>963</v>
      </c>
      <c r="U36" s="15">
        <v>13684</v>
      </c>
      <c r="V36" s="19">
        <v>16200</v>
      </c>
      <c r="W36" s="15">
        <v>15490</v>
      </c>
      <c r="X36" s="16">
        <v>48278</v>
      </c>
      <c r="Y36" s="62">
        <v>19551</v>
      </c>
      <c r="Z36" s="63">
        <v>16200</v>
      </c>
      <c r="AA36" s="68">
        <v>6.0383997495182327E-2</v>
      </c>
      <c r="AB36" s="68">
        <v>0.10324778200253486</v>
      </c>
      <c r="AC36" s="67">
        <f t="shared" si="0"/>
        <v>322.75246661174953</v>
      </c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7" x14ac:dyDescent="0.25">
      <c r="A37" s="11" t="s">
        <v>112</v>
      </c>
      <c r="B37" s="12" t="s">
        <v>77</v>
      </c>
      <c r="C37" s="13" t="s">
        <v>40</v>
      </c>
      <c r="D37" s="14">
        <v>22</v>
      </c>
      <c r="E37" s="15">
        <v>67</v>
      </c>
      <c r="F37" s="15">
        <v>371</v>
      </c>
      <c r="G37" s="16">
        <v>1533</v>
      </c>
      <c r="H37" s="17">
        <v>1993</v>
      </c>
      <c r="I37" s="15">
        <v>1638</v>
      </c>
      <c r="J37" s="16">
        <v>5045</v>
      </c>
      <c r="K37" s="14">
        <v>0</v>
      </c>
      <c r="L37" s="15">
        <v>15</v>
      </c>
      <c r="M37" s="15">
        <v>85</v>
      </c>
      <c r="N37" s="15">
        <v>233</v>
      </c>
      <c r="O37" s="18">
        <v>333</v>
      </c>
      <c r="P37" s="15">
        <v>238</v>
      </c>
      <c r="Q37" s="16">
        <v>585</v>
      </c>
      <c r="R37" s="14">
        <v>22</v>
      </c>
      <c r="S37" s="15">
        <v>52</v>
      </c>
      <c r="T37" s="15">
        <v>286</v>
      </c>
      <c r="U37" s="15">
        <v>1300</v>
      </c>
      <c r="V37" s="19">
        <v>1660</v>
      </c>
      <c r="W37" s="15">
        <v>1400</v>
      </c>
      <c r="X37" s="16">
        <v>4460</v>
      </c>
      <c r="Y37" s="64">
        <v>333</v>
      </c>
      <c r="Z37" s="65">
        <v>1660</v>
      </c>
      <c r="AA37" s="68">
        <v>6.187496039629794E-3</v>
      </c>
      <c r="AB37" s="68">
        <v>1.7585551330798479E-3</v>
      </c>
      <c r="AC37" s="67">
        <f t="shared" si="0"/>
        <v>33.072166331821251</v>
      </c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7" x14ac:dyDescent="0.25">
      <c r="A38" s="11" t="s">
        <v>113</v>
      </c>
      <c r="B38" s="12" t="s">
        <v>77</v>
      </c>
      <c r="C38" s="13" t="s">
        <v>6</v>
      </c>
      <c r="D38" s="14">
        <v>18</v>
      </c>
      <c r="E38" s="15">
        <v>1665</v>
      </c>
      <c r="F38" s="15">
        <v>290</v>
      </c>
      <c r="G38" s="16">
        <v>7897</v>
      </c>
      <c r="H38" s="17">
        <v>9870</v>
      </c>
      <c r="I38" s="15">
        <v>10945</v>
      </c>
      <c r="J38" s="16">
        <v>33508</v>
      </c>
      <c r="K38" s="14">
        <v>0</v>
      </c>
      <c r="L38" s="15">
        <v>688</v>
      </c>
      <c r="M38" s="15">
        <v>124</v>
      </c>
      <c r="N38" s="15">
        <v>1297</v>
      </c>
      <c r="O38" s="18">
        <v>2109</v>
      </c>
      <c r="P38" s="15">
        <v>1549</v>
      </c>
      <c r="Q38" s="16">
        <v>4410</v>
      </c>
      <c r="R38" s="14">
        <v>18</v>
      </c>
      <c r="S38" s="15">
        <v>977</v>
      </c>
      <c r="T38" s="15">
        <v>166</v>
      </c>
      <c r="U38" s="15">
        <v>6600</v>
      </c>
      <c r="V38" s="19">
        <v>7761</v>
      </c>
      <c r="W38" s="15">
        <v>9396</v>
      </c>
      <c r="X38" s="16">
        <v>29098</v>
      </c>
      <c r="Y38" s="62">
        <v>2109</v>
      </c>
      <c r="Z38" s="63">
        <v>7761</v>
      </c>
      <c r="AA38" s="68">
        <v>2.892840768889568E-2</v>
      </c>
      <c r="AB38" s="68">
        <v>1.1137515842839037E-2</v>
      </c>
      <c r="AC38" s="67">
        <f t="shared" si="0"/>
        <v>154.6223390971474</v>
      </c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7" x14ac:dyDescent="0.25">
      <c r="A39" s="11" t="s">
        <v>114</v>
      </c>
      <c r="B39" s="12" t="s">
        <v>77</v>
      </c>
      <c r="C39" s="13" t="s">
        <v>53</v>
      </c>
      <c r="D39" s="14">
        <v>3</v>
      </c>
      <c r="E39" s="15">
        <v>939</v>
      </c>
      <c r="F39" s="15">
        <v>118</v>
      </c>
      <c r="G39" s="16">
        <v>3514</v>
      </c>
      <c r="H39" s="17">
        <v>4574</v>
      </c>
      <c r="I39" s="15">
        <v>4588</v>
      </c>
      <c r="J39" s="16">
        <v>11958</v>
      </c>
      <c r="K39" s="14">
        <v>1</v>
      </c>
      <c r="L39" s="15">
        <v>20</v>
      </c>
      <c r="M39" s="15">
        <v>17</v>
      </c>
      <c r="N39" s="15">
        <v>163</v>
      </c>
      <c r="O39" s="18">
        <v>201</v>
      </c>
      <c r="P39" s="15">
        <v>222</v>
      </c>
      <c r="Q39" s="16">
        <v>541</v>
      </c>
      <c r="R39" s="14">
        <v>2</v>
      </c>
      <c r="S39" s="15">
        <v>919</v>
      </c>
      <c r="T39" s="15">
        <v>101</v>
      </c>
      <c r="U39" s="15">
        <v>3351</v>
      </c>
      <c r="V39" s="19">
        <v>4373</v>
      </c>
      <c r="W39" s="15">
        <v>4366</v>
      </c>
      <c r="X39" s="16">
        <v>11417</v>
      </c>
      <c r="Y39" s="64">
        <v>201</v>
      </c>
      <c r="Z39" s="65">
        <v>4373</v>
      </c>
      <c r="AA39" s="68">
        <v>1.629995191644644E-2</v>
      </c>
      <c r="AB39" s="68">
        <v>1.061470215462611E-3</v>
      </c>
      <c r="AC39" s="67">
        <f t="shared" si="0"/>
        <v>87.123242993406222</v>
      </c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7" x14ac:dyDescent="0.25">
      <c r="A40" s="11" t="s">
        <v>115</v>
      </c>
      <c r="B40" s="12" t="s">
        <v>77</v>
      </c>
      <c r="C40" s="13" t="s">
        <v>48</v>
      </c>
      <c r="D40" s="14">
        <v>2319</v>
      </c>
      <c r="E40" s="15">
        <v>89</v>
      </c>
      <c r="F40" s="15">
        <v>78</v>
      </c>
      <c r="G40" s="16">
        <v>7090</v>
      </c>
      <c r="H40" s="17">
        <v>9576</v>
      </c>
      <c r="I40" s="15">
        <v>7809</v>
      </c>
      <c r="J40" s="16">
        <v>19690</v>
      </c>
      <c r="K40" s="14">
        <v>28</v>
      </c>
      <c r="L40" s="15">
        <v>61</v>
      </c>
      <c r="M40" s="15">
        <v>49</v>
      </c>
      <c r="N40" s="15">
        <v>2024</v>
      </c>
      <c r="O40" s="18">
        <v>2162</v>
      </c>
      <c r="P40" s="15">
        <v>2149</v>
      </c>
      <c r="Q40" s="16">
        <v>5728</v>
      </c>
      <c r="R40" s="14">
        <v>2291</v>
      </c>
      <c r="S40" s="15">
        <v>28</v>
      </c>
      <c r="T40" s="15">
        <v>29</v>
      </c>
      <c r="U40" s="15">
        <v>5066</v>
      </c>
      <c r="V40" s="19">
        <v>7414</v>
      </c>
      <c r="W40" s="15">
        <v>5660</v>
      </c>
      <c r="X40" s="16">
        <v>13962</v>
      </c>
      <c r="Y40" s="62">
        <v>2162</v>
      </c>
      <c r="Z40" s="63">
        <v>7414</v>
      </c>
      <c r="AA40" s="68">
        <v>2.7634997372177887E-2</v>
      </c>
      <c r="AB40" s="68">
        <v>1.1417405999155049E-2</v>
      </c>
      <c r="AC40" s="67">
        <f t="shared" si="0"/>
        <v>147.70906095429081</v>
      </c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7" x14ac:dyDescent="0.25">
      <c r="A41" s="11" t="s">
        <v>116</v>
      </c>
      <c r="B41" s="12" t="s">
        <v>77</v>
      </c>
      <c r="C41" s="13" t="s">
        <v>31</v>
      </c>
      <c r="D41" s="14">
        <v>484</v>
      </c>
      <c r="E41" s="15">
        <v>22</v>
      </c>
      <c r="F41" s="15">
        <v>95</v>
      </c>
      <c r="G41" s="16">
        <v>2121</v>
      </c>
      <c r="H41" s="17">
        <v>2722</v>
      </c>
      <c r="I41" s="15">
        <v>2754</v>
      </c>
      <c r="J41" s="16">
        <v>6201</v>
      </c>
      <c r="K41" s="14">
        <v>73</v>
      </c>
      <c r="L41" s="15">
        <v>15</v>
      </c>
      <c r="M41" s="15">
        <v>76</v>
      </c>
      <c r="N41" s="15">
        <v>433</v>
      </c>
      <c r="O41" s="18">
        <v>597</v>
      </c>
      <c r="P41" s="15">
        <v>541</v>
      </c>
      <c r="Q41" s="16">
        <v>1112</v>
      </c>
      <c r="R41" s="14">
        <v>411</v>
      </c>
      <c r="S41" s="15">
        <v>7</v>
      </c>
      <c r="T41" s="15">
        <v>19</v>
      </c>
      <c r="U41" s="15">
        <v>1688</v>
      </c>
      <c r="V41" s="19">
        <v>2125</v>
      </c>
      <c r="W41" s="15">
        <v>2213</v>
      </c>
      <c r="X41" s="16">
        <v>5089</v>
      </c>
      <c r="Y41" s="64">
        <v>597</v>
      </c>
      <c r="Z41" s="65">
        <v>2125</v>
      </c>
      <c r="AA41" s="68">
        <v>7.9207404121766946E-3</v>
      </c>
      <c r="AB41" s="68">
        <v>3.1527249683143219E-3</v>
      </c>
      <c r="AC41" s="67">
        <f t="shared" si="0"/>
        <v>42.336357503084436</v>
      </c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7" x14ac:dyDescent="0.25">
      <c r="A42" s="11" t="s">
        <v>117</v>
      </c>
      <c r="B42" s="12" t="s">
        <v>77</v>
      </c>
      <c r="C42" s="13" t="s">
        <v>7</v>
      </c>
      <c r="D42" s="14">
        <v>311</v>
      </c>
      <c r="E42" s="15">
        <v>1203</v>
      </c>
      <c r="F42" s="15">
        <v>797</v>
      </c>
      <c r="G42" s="16">
        <v>9296</v>
      </c>
      <c r="H42" s="17">
        <v>11607</v>
      </c>
      <c r="I42" s="15">
        <v>11265</v>
      </c>
      <c r="J42" s="16">
        <v>32217</v>
      </c>
      <c r="K42" s="14">
        <v>206</v>
      </c>
      <c r="L42" s="15">
        <v>195</v>
      </c>
      <c r="M42" s="15">
        <v>301</v>
      </c>
      <c r="N42" s="15">
        <v>3835</v>
      </c>
      <c r="O42" s="18">
        <v>4537</v>
      </c>
      <c r="P42" s="15">
        <v>4635</v>
      </c>
      <c r="Q42" s="16">
        <v>13446</v>
      </c>
      <c r="R42" s="14">
        <v>105</v>
      </c>
      <c r="S42" s="15">
        <v>1008</v>
      </c>
      <c r="T42" s="15">
        <v>496</v>
      </c>
      <c r="U42" s="15">
        <v>5461</v>
      </c>
      <c r="V42" s="19">
        <v>7070</v>
      </c>
      <c r="W42" s="15">
        <v>6630</v>
      </c>
      <c r="X42" s="16">
        <v>18771</v>
      </c>
      <c r="Y42" s="62">
        <v>4537</v>
      </c>
      <c r="Z42" s="63">
        <v>7070</v>
      </c>
      <c r="AA42" s="68">
        <v>2.6352769277218458E-2</v>
      </c>
      <c r="AB42" s="68">
        <v>2.395965356991973E-2</v>
      </c>
      <c r="AC42" s="67">
        <f t="shared" si="0"/>
        <v>140.85555178673266</v>
      </c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7" x14ac:dyDescent="0.25">
      <c r="A43" s="11" t="s">
        <v>118</v>
      </c>
      <c r="B43" s="12" t="s">
        <v>77</v>
      </c>
      <c r="C43" s="13" t="s">
        <v>22</v>
      </c>
      <c r="D43" s="14">
        <v>36</v>
      </c>
      <c r="E43" s="15">
        <v>359</v>
      </c>
      <c r="F43" s="15">
        <v>799</v>
      </c>
      <c r="G43" s="16">
        <v>5780</v>
      </c>
      <c r="H43" s="17">
        <v>6974</v>
      </c>
      <c r="I43" s="15">
        <v>6054</v>
      </c>
      <c r="J43" s="16">
        <v>21618</v>
      </c>
      <c r="K43" s="14">
        <v>7</v>
      </c>
      <c r="L43" s="15">
        <v>91</v>
      </c>
      <c r="M43" s="15">
        <v>174</v>
      </c>
      <c r="N43" s="15">
        <v>1563</v>
      </c>
      <c r="O43" s="18">
        <v>1835</v>
      </c>
      <c r="P43" s="15">
        <v>1818</v>
      </c>
      <c r="Q43" s="16">
        <v>6187</v>
      </c>
      <c r="R43" s="14">
        <v>29</v>
      </c>
      <c r="S43" s="15">
        <v>268</v>
      </c>
      <c r="T43" s="15">
        <v>625</v>
      </c>
      <c r="U43" s="15">
        <v>4217</v>
      </c>
      <c r="V43" s="19">
        <v>5139</v>
      </c>
      <c r="W43" s="15">
        <v>4236</v>
      </c>
      <c r="X43" s="16">
        <v>15431</v>
      </c>
      <c r="Y43" s="64">
        <v>1835</v>
      </c>
      <c r="Z43" s="65">
        <v>5139</v>
      </c>
      <c r="AA43" s="68">
        <v>1.9155145872082838E-2</v>
      </c>
      <c r="AB43" s="68">
        <v>9.6905365441487118E-3</v>
      </c>
      <c r="AC43" s="67">
        <f t="shared" si="0"/>
        <v>102.38425468628277</v>
      </c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7" x14ac:dyDescent="0.25">
      <c r="A44" s="11" t="s">
        <v>119</v>
      </c>
      <c r="B44" s="12" t="s">
        <v>77</v>
      </c>
      <c r="C44" s="13" t="s">
        <v>15</v>
      </c>
      <c r="D44" s="14">
        <v>27</v>
      </c>
      <c r="E44" s="15">
        <v>929</v>
      </c>
      <c r="F44" s="15">
        <v>158</v>
      </c>
      <c r="G44" s="16">
        <v>7752</v>
      </c>
      <c r="H44" s="17">
        <v>8866</v>
      </c>
      <c r="I44" s="15">
        <v>10535</v>
      </c>
      <c r="J44" s="16">
        <v>30654</v>
      </c>
      <c r="K44" s="14">
        <v>3</v>
      </c>
      <c r="L44" s="15">
        <v>77</v>
      </c>
      <c r="M44" s="15">
        <v>15</v>
      </c>
      <c r="N44" s="15">
        <v>672</v>
      </c>
      <c r="O44" s="18">
        <v>767</v>
      </c>
      <c r="P44" s="15">
        <v>818</v>
      </c>
      <c r="Q44" s="16">
        <v>1970</v>
      </c>
      <c r="R44" s="14">
        <v>24</v>
      </c>
      <c r="S44" s="15">
        <v>852</v>
      </c>
      <c r="T44" s="15">
        <v>143</v>
      </c>
      <c r="U44" s="15">
        <v>7080</v>
      </c>
      <c r="V44" s="19">
        <v>8099</v>
      </c>
      <c r="W44" s="15">
        <v>9717</v>
      </c>
      <c r="X44" s="16">
        <v>28684</v>
      </c>
      <c r="Y44" s="62">
        <v>767</v>
      </c>
      <c r="Z44" s="63">
        <v>8099</v>
      </c>
      <c r="AA44" s="68">
        <v>3.0188271340338375E-2</v>
      </c>
      <c r="AB44" s="68">
        <v>4.0504858470637936E-3</v>
      </c>
      <c r="AC44" s="67">
        <f t="shared" si="0"/>
        <v>161.35631031410861</v>
      </c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17" x14ac:dyDescent="0.25">
      <c r="A45" s="11" t="s">
        <v>120</v>
      </c>
      <c r="B45" s="12" t="s">
        <v>77</v>
      </c>
      <c r="C45" s="13" t="s">
        <v>20</v>
      </c>
      <c r="D45" s="14">
        <v>8</v>
      </c>
      <c r="E45" s="15">
        <v>1117</v>
      </c>
      <c r="F45" s="15">
        <v>292</v>
      </c>
      <c r="G45" s="16">
        <v>4169</v>
      </c>
      <c r="H45" s="17">
        <v>5586</v>
      </c>
      <c r="I45" s="15">
        <v>6918</v>
      </c>
      <c r="J45" s="16">
        <v>20870</v>
      </c>
      <c r="K45" s="14">
        <v>0</v>
      </c>
      <c r="L45" s="15">
        <v>7</v>
      </c>
      <c r="M45" s="15">
        <v>49</v>
      </c>
      <c r="N45" s="15">
        <v>314</v>
      </c>
      <c r="O45" s="18">
        <v>370</v>
      </c>
      <c r="P45" s="15">
        <v>498</v>
      </c>
      <c r="Q45" s="16">
        <v>1289</v>
      </c>
      <c r="R45" s="14">
        <v>8</v>
      </c>
      <c r="S45" s="15">
        <v>1110</v>
      </c>
      <c r="T45" s="15">
        <v>243</v>
      </c>
      <c r="U45" s="15">
        <v>3855</v>
      </c>
      <c r="V45" s="19">
        <v>5216</v>
      </c>
      <c r="W45" s="15">
        <v>6420</v>
      </c>
      <c r="X45" s="16">
        <v>19581</v>
      </c>
      <c r="Y45" s="64">
        <v>370</v>
      </c>
      <c r="Z45" s="65">
        <v>5216</v>
      </c>
      <c r="AA45" s="68">
        <v>1.9442156230547594E-2</v>
      </c>
      <c r="AB45" s="68">
        <v>1.9539501478664976E-3</v>
      </c>
      <c r="AC45" s="67">
        <f t="shared" si="0"/>
        <v>103.91832505227688</v>
      </c>
      <c r="AD45" s="3"/>
      <c r="AE45" s="3"/>
      <c r="AF45" s="3"/>
      <c r="AG45" s="3"/>
      <c r="AH45" s="3"/>
      <c r="AI45" s="3"/>
      <c r="AJ45" s="3"/>
      <c r="AK45" s="3"/>
      <c r="AL45" s="3"/>
    </row>
    <row r="46" spans="1:38" ht="17" x14ac:dyDescent="0.25">
      <c r="A46" s="11" t="s">
        <v>121</v>
      </c>
      <c r="B46" s="12" t="s">
        <v>77</v>
      </c>
      <c r="C46" s="13" t="s">
        <v>51</v>
      </c>
      <c r="D46" s="14">
        <v>178</v>
      </c>
      <c r="E46" s="15">
        <v>24</v>
      </c>
      <c r="F46" s="15">
        <v>673</v>
      </c>
      <c r="G46" s="16">
        <v>6326</v>
      </c>
      <c r="H46" s="17">
        <v>7201</v>
      </c>
      <c r="I46" s="15">
        <v>6420</v>
      </c>
      <c r="J46" s="16">
        <v>18761</v>
      </c>
      <c r="K46" s="14">
        <v>145</v>
      </c>
      <c r="L46" s="15">
        <v>16</v>
      </c>
      <c r="M46" s="15">
        <v>542</v>
      </c>
      <c r="N46" s="15">
        <v>4660</v>
      </c>
      <c r="O46" s="18">
        <v>5363</v>
      </c>
      <c r="P46" s="15">
        <v>4717</v>
      </c>
      <c r="Q46" s="16">
        <v>13728</v>
      </c>
      <c r="R46" s="14">
        <v>33</v>
      </c>
      <c r="S46" s="15">
        <v>8</v>
      </c>
      <c r="T46" s="15">
        <v>131</v>
      </c>
      <c r="U46" s="15">
        <v>1666</v>
      </c>
      <c r="V46" s="19">
        <v>1838</v>
      </c>
      <c r="W46" s="15">
        <v>1703</v>
      </c>
      <c r="X46" s="16">
        <v>5033</v>
      </c>
      <c r="Y46" s="62">
        <v>5363</v>
      </c>
      <c r="Z46" s="63">
        <v>1838</v>
      </c>
      <c r="AA46" s="68">
        <v>6.8509745306262419E-3</v>
      </c>
      <c r="AB46" s="68">
        <v>2.8321715251373045E-2</v>
      </c>
      <c r="AC46" s="67">
        <f t="shared" si="0"/>
        <v>36.618458866197265</v>
      </c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2">
      <c r="H47" s="22">
        <f>SUM(H5:H46)</f>
        <v>457643</v>
      </c>
      <c r="I47" s="23">
        <f>SUM(I5:I46)</f>
        <v>432493</v>
      </c>
      <c r="J47" s="23">
        <f>SUM(J5:J46)</f>
        <v>1243503</v>
      </c>
      <c r="O47" s="22">
        <f>SUM(O5:O46)</f>
        <v>189360</v>
      </c>
      <c r="U47" s="23"/>
      <c r="V47" s="24">
        <f>SUM(V5:V46)</f>
        <v>268283</v>
      </c>
      <c r="W47" s="25">
        <f>SUM(W5:W46)</f>
        <v>260498</v>
      </c>
      <c r="X47" s="25">
        <f>SUM(X5:X46)</f>
        <v>751274</v>
      </c>
    </row>
    <row r="48" spans="1:38" x14ac:dyDescent="0.2">
      <c r="O48" s="25"/>
    </row>
  </sheetData>
  <mergeCells count="9">
    <mergeCell ref="D2:J2"/>
    <mergeCell ref="K2:Q2"/>
    <mergeCell ref="R2:X2"/>
    <mergeCell ref="D3:G3"/>
    <mergeCell ref="H3:J3"/>
    <mergeCell ref="K3:N3"/>
    <mergeCell ref="O3:Q3"/>
    <mergeCell ref="R3:U3"/>
    <mergeCell ref="V3:X3"/>
  </mergeCells>
  <conditionalFormatting sqref="Y6">
    <cfRule type="expression" dxfId="14" priority="7" stopIfTrue="1">
      <formula>$A5&lt;&gt;$A6</formula>
    </cfRule>
  </conditionalFormatting>
  <conditionalFormatting sqref="Y5">
    <cfRule type="expression" dxfId="13" priority="8" stopIfTrue="1">
      <formula>#REF!&lt;&gt;$A5</formula>
    </cfRule>
  </conditionalFormatting>
  <conditionalFormatting sqref="Z6">
    <cfRule type="expression" dxfId="12" priority="5" stopIfTrue="1">
      <formula>$A5&lt;&gt;$A6</formula>
    </cfRule>
  </conditionalFormatting>
  <conditionalFormatting sqref="Z5">
    <cfRule type="expression" dxfId="11" priority="6" stopIfTrue="1">
      <formula>#REF!&lt;&gt;$A5</formula>
    </cfRule>
  </conditionalFormatting>
  <conditionalFormatting sqref="Y8 Y10 Y12 Y14 Y16 Y18 Y20 Y22 Y24 Y26 Y28 Y30 Y32 Y34 Y36 Y38 Y40 Y42 Y44 Y46">
    <cfRule type="expression" dxfId="10" priority="3" stopIfTrue="1">
      <formula>$A7&lt;&gt;$A8</formula>
    </cfRule>
  </conditionalFormatting>
  <conditionalFormatting sqref="Y7 Y9 Y11 Y13 Y15 Y17 Y19 Y21 Y23 Y25 Y27 Y29 Y31 Y33 Y35 Y37 Y39 Y41 Y43 Y45">
    <cfRule type="expression" dxfId="9" priority="4" stopIfTrue="1">
      <formula>#REF!&lt;&gt;$A7</formula>
    </cfRule>
  </conditionalFormatting>
  <conditionalFormatting sqref="Z8 Z10 Z12 Z14 Z16 Z18 Z20 Z22 Z24 Z26 Z28 Z30 Z32 Z34 Z36 Z38 Z40 Z42 Z44 Z46">
    <cfRule type="expression" dxfId="8" priority="1" stopIfTrue="1">
      <formula>$A7&lt;&gt;$A8</formula>
    </cfRule>
  </conditionalFormatting>
  <conditionalFormatting sqref="Z7 Z9 Z11 Z13 Z15 Z17 Z19 Z21 Z23 Z25 Z27 Z29 Z31 Z33 Z35 Z37 Z39 Z41 Z43 Z45">
    <cfRule type="expression" dxfId="7" priority="2" stopIfTrue="1">
      <formula>#REF!&lt;&gt;$A7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11"/>
  <sheetViews>
    <sheetView workbookViewId="0">
      <selection activeCell="B7" sqref="B7"/>
    </sheetView>
  </sheetViews>
  <sheetFormatPr baseColWidth="10" defaultRowHeight="16" x14ac:dyDescent="0.2"/>
  <cols>
    <col min="1" max="1" width="16.5" bestFit="1" customWidth="1"/>
    <col min="2" max="2" width="18.6640625" bestFit="1" customWidth="1"/>
  </cols>
  <sheetData>
    <row r="3" spans="1:2" x14ac:dyDescent="0.2">
      <c r="A3" s="40" t="s">
        <v>138</v>
      </c>
      <c r="B3" t="s">
        <v>183</v>
      </c>
    </row>
    <row r="4" spans="1:2" x14ac:dyDescent="0.2">
      <c r="A4" s="41" t="s">
        <v>0</v>
      </c>
      <c r="B4" s="27">
        <v>521.85054082120018</v>
      </c>
    </row>
    <row r="5" spans="1:2" x14ac:dyDescent="0.2">
      <c r="A5" s="41" t="s">
        <v>8</v>
      </c>
      <c r="B5" s="27">
        <v>328.24328543608021</v>
      </c>
    </row>
    <row r="6" spans="1:2" x14ac:dyDescent="0.2">
      <c r="A6" s="41" t="s">
        <v>17</v>
      </c>
      <c r="B6" s="27">
        <v>179.54528995151566</v>
      </c>
    </row>
    <row r="7" spans="1:2" x14ac:dyDescent="0.2">
      <c r="A7" s="41" t="s">
        <v>21</v>
      </c>
      <c r="B7" s="27">
        <v>851.386934310431</v>
      </c>
    </row>
    <row r="8" spans="1:2" x14ac:dyDescent="0.2">
      <c r="A8" s="41" t="s">
        <v>24</v>
      </c>
      <c r="B8" s="27">
        <v>236.58792465390769</v>
      </c>
    </row>
    <row r="9" spans="1:2" x14ac:dyDescent="0.2">
      <c r="A9" s="41" t="s">
        <v>32</v>
      </c>
      <c r="B9" s="27">
        <v>127.15080452215309</v>
      </c>
    </row>
    <row r="10" spans="1:2" x14ac:dyDescent="0.2">
      <c r="A10" s="41" t="s">
        <v>131</v>
      </c>
      <c r="B10" s="27">
        <v>131.23522030471182</v>
      </c>
    </row>
    <row r="11" spans="1:2" x14ac:dyDescent="0.2">
      <c r="A11" s="41" t="s">
        <v>139</v>
      </c>
      <c r="B11" s="42">
        <v>2375.9999999999995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10"/>
  <sheetViews>
    <sheetView zoomScale="168" workbookViewId="0">
      <selection activeCell="B16" sqref="B16"/>
    </sheetView>
  </sheetViews>
  <sheetFormatPr baseColWidth="10" defaultRowHeight="16" x14ac:dyDescent="0.2"/>
  <cols>
    <col min="1" max="1" width="21" customWidth="1"/>
    <col min="2" max="2" width="28.1640625" bestFit="1" customWidth="1"/>
    <col min="3" max="3" width="11.1640625" bestFit="1" customWidth="1"/>
  </cols>
  <sheetData>
    <row r="2" spans="1:7" x14ac:dyDescent="0.2">
      <c r="A2" s="70"/>
      <c r="B2" s="70"/>
      <c r="C2" s="71" t="s">
        <v>166</v>
      </c>
      <c r="D2" s="71" t="s">
        <v>174</v>
      </c>
      <c r="E2" s="71" t="s">
        <v>172</v>
      </c>
      <c r="F2" s="71" t="s">
        <v>167</v>
      </c>
      <c r="G2" s="71" t="s">
        <v>168</v>
      </c>
    </row>
    <row r="3" spans="1:7" x14ac:dyDescent="0.2">
      <c r="A3" s="150" t="s">
        <v>173</v>
      </c>
      <c r="B3" s="71" t="s">
        <v>169</v>
      </c>
      <c r="C3" s="73">
        <f>+(((G3^2)*E3*1.5))/((0.035*D3)*(1-F3))</f>
        <v>3263.3116816867873</v>
      </c>
      <c r="D3" s="75">
        <v>5.8810000000000002</v>
      </c>
      <c r="E3" s="75">
        <v>104.91</v>
      </c>
      <c r="F3" s="74">
        <v>0.1</v>
      </c>
      <c r="G3" s="72">
        <v>1.96</v>
      </c>
    </row>
    <row r="4" spans="1:7" x14ac:dyDescent="0.2">
      <c r="A4" s="151"/>
      <c r="B4" s="71" t="s">
        <v>170</v>
      </c>
      <c r="C4" s="73">
        <f>+(((G4^2)*E4*1.5))/((0.035*D4)*(1-F4))</f>
        <v>2561.0666666666662</v>
      </c>
      <c r="D4" s="75">
        <v>7.67</v>
      </c>
      <c r="E4" s="75">
        <v>107.38</v>
      </c>
      <c r="F4" s="72">
        <v>0.1</v>
      </c>
      <c r="G4" s="72">
        <v>1.96</v>
      </c>
    </row>
    <row r="5" spans="1:7" x14ac:dyDescent="0.2">
      <c r="A5" s="151"/>
      <c r="B5" s="71" t="s">
        <v>175</v>
      </c>
      <c r="C5" s="73">
        <f>+(((G5^2)*E5*1.5))/((0.2*D5)*(1-F5))</f>
        <v>247.71394646852772</v>
      </c>
      <c r="D5" s="75">
        <f>735.309/100</f>
        <v>7.3530899999999999</v>
      </c>
      <c r="E5" s="75">
        <f>56897.00987/1000</f>
        <v>56.897009870000005</v>
      </c>
      <c r="F5" s="72">
        <v>0.1</v>
      </c>
      <c r="G5" s="72">
        <v>1.96</v>
      </c>
    </row>
    <row r="6" spans="1:7" x14ac:dyDescent="0.2">
      <c r="A6" s="151"/>
      <c r="B6" s="71" t="s">
        <v>171</v>
      </c>
      <c r="C6" s="73">
        <f>+(((G6^2)*E6*1.5))/((1*D6)*(1-F6))*10</f>
        <v>2635.0099947208123</v>
      </c>
      <c r="D6" s="75">
        <f>13589.3697807955/1000</f>
        <v>13.589369780795499</v>
      </c>
      <c r="E6" s="75">
        <f>5592689.27442/10000</f>
        <v>559.26892744199995</v>
      </c>
      <c r="F6" s="72">
        <v>0.1</v>
      </c>
      <c r="G6" s="72">
        <v>1.96</v>
      </c>
    </row>
    <row r="7" spans="1:7" x14ac:dyDescent="0.2">
      <c r="A7" s="151"/>
      <c r="B7" s="71" t="s">
        <v>176</v>
      </c>
      <c r="C7" s="73">
        <f>+(((G7^2)*E7*1.5))/((0.007*D7)*(1-F7))</f>
        <v>2244.5771588211105</v>
      </c>
      <c r="D7" s="75">
        <v>2.2519047619047634</v>
      </c>
      <c r="E7" s="75">
        <v>5.5261377468060395</v>
      </c>
      <c r="F7" s="72">
        <v>0.1</v>
      </c>
      <c r="G7" s="72">
        <v>1.96</v>
      </c>
    </row>
    <row r="8" spans="1:7" x14ac:dyDescent="0.2">
      <c r="A8" s="151"/>
      <c r="B8" s="71" t="s">
        <v>177</v>
      </c>
      <c r="C8" s="73">
        <f>+(((G8^2)*E8*1.5))/((0.07*D8)*(1-F8))</f>
        <v>2526.4438011320503</v>
      </c>
      <c r="D8" s="75">
        <v>15.438333333333333</v>
      </c>
      <c r="E8" s="75">
        <v>426.42946300813014</v>
      </c>
      <c r="F8" s="72">
        <v>0.1</v>
      </c>
      <c r="G8" s="72">
        <v>1.96</v>
      </c>
    </row>
    <row r="9" spans="1:7" x14ac:dyDescent="0.2">
      <c r="A9" s="151"/>
      <c r="B9" s="106" t="s">
        <v>204</v>
      </c>
      <c r="C9" s="73">
        <f>+(((G9^2)*E9*17.5))/((0.007*D9)*(1-F9))</f>
        <v>2091.0566241482757</v>
      </c>
      <c r="D9" s="105">
        <v>84.5</v>
      </c>
      <c r="E9" s="119">
        <v>16.5581899486127</v>
      </c>
      <c r="F9" s="72">
        <v>0.1</v>
      </c>
      <c r="G9" s="72">
        <v>1.96</v>
      </c>
    </row>
    <row r="10" spans="1:7" x14ac:dyDescent="0.2">
      <c r="C10" s="27">
        <f>+C8-150</f>
        <v>2376.4438011320503</v>
      </c>
    </row>
  </sheetData>
  <mergeCells count="1">
    <mergeCell ref="A3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4"/>
  <sheetViews>
    <sheetView topLeftCell="B1" workbookViewId="0">
      <selection activeCell="K2" sqref="K2"/>
    </sheetView>
  </sheetViews>
  <sheetFormatPr baseColWidth="10" defaultRowHeight="16" x14ac:dyDescent="0.2"/>
  <cols>
    <col min="1" max="1" width="10.83203125" hidden="1" customWidth="1"/>
    <col min="2" max="2" width="14" customWidth="1"/>
    <col min="3" max="3" width="20.33203125" bestFit="1" customWidth="1"/>
    <col min="4" max="4" width="20.33203125" customWidth="1"/>
    <col min="5" max="5" width="20.33203125" bestFit="1" customWidth="1"/>
    <col min="6" max="6" width="17" bestFit="1" customWidth="1"/>
    <col min="7" max="7" width="17" customWidth="1"/>
    <col min="8" max="8" width="20.6640625" customWidth="1"/>
    <col min="9" max="9" width="17.6640625" bestFit="1" customWidth="1"/>
    <col min="10" max="10" width="17" bestFit="1" customWidth="1"/>
    <col min="11" max="11" width="14.5" customWidth="1"/>
    <col min="13" max="13" width="12" customWidth="1"/>
    <col min="14" max="18" width="13" customWidth="1"/>
  </cols>
  <sheetData>
    <row r="1" spans="1:19" ht="52" customHeight="1" x14ac:dyDescent="0.2">
      <c r="A1" t="s">
        <v>148</v>
      </c>
      <c r="B1" s="31" t="s">
        <v>122</v>
      </c>
      <c r="C1" s="31" t="s">
        <v>129</v>
      </c>
      <c r="D1" s="31" t="s">
        <v>130</v>
      </c>
      <c r="E1" s="31" t="s">
        <v>41</v>
      </c>
      <c r="F1" s="28" t="s">
        <v>123</v>
      </c>
      <c r="G1" s="28" t="s">
        <v>132</v>
      </c>
      <c r="H1" s="28" t="s">
        <v>124</v>
      </c>
      <c r="I1" s="28" t="s">
        <v>128</v>
      </c>
      <c r="J1" s="29" t="s">
        <v>125</v>
      </c>
      <c r="K1" s="29" t="s">
        <v>126</v>
      </c>
      <c r="L1" s="46" t="s">
        <v>127</v>
      </c>
      <c r="M1" s="45" t="s">
        <v>149</v>
      </c>
      <c r="N1" s="45" t="s">
        <v>147</v>
      </c>
      <c r="O1" s="45"/>
      <c r="P1" s="45" t="s">
        <v>163</v>
      </c>
      <c r="Q1" s="45" t="s">
        <v>164</v>
      </c>
      <c r="R1" s="69"/>
      <c r="S1" s="54" t="s">
        <v>157</v>
      </c>
    </row>
    <row r="2" spans="1:19" x14ac:dyDescent="0.2">
      <c r="A2" s="48">
        <v>1</v>
      </c>
      <c r="B2" s="49">
        <v>19001</v>
      </c>
      <c r="C2" s="50">
        <v>1</v>
      </c>
      <c r="D2" s="50" t="s">
        <v>0</v>
      </c>
      <c r="E2" s="50" t="s">
        <v>42</v>
      </c>
      <c r="F2" s="51">
        <v>0.19238141649065199</v>
      </c>
      <c r="G2" s="50">
        <v>23</v>
      </c>
      <c r="H2" s="52">
        <v>84936</v>
      </c>
      <c r="I2" s="52">
        <v>109402</v>
      </c>
      <c r="J2" s="52">
        <v>92117.251390863617</v>
      </c>
      <c r="K2" s="52">
        <v>19818.364985047963</v>
      </c>
      <c r="L2" s="52">
        <v>111935.61637591157</v>
      </c>
      <c r="M2" s="47">
        <f>+(1/7)*(1/8)*VLOOKUP(B2,Calculos!$V$26:$AF$67,7,FALSE)</f>
        <v>4.1323351602156307E-3</v>
      </c>
      <c r="N2" s="52">
        <f t="shared" ref="N2:N43" si="0">1/M2</f>
        <v>241.99392382969697</v>
      </c>
      <c r="O2" s="57"/>
      <c r="P2" s="57"/>
      <c r="Q2" s="57"/>
      <c r="R2" s="57"/>
      <c r="S2">
        <v>3895</v>
      </c>
    </row>
    <row r="3" spans="1:19" x14ac:dyDescent="0.2">
      <c r="A3" s="48">
        <v>7</v>
      </c>
      <c r="B3" s="49">
        <v>19130</v>
      </c>
      <c r="C3" s="50">
        <v>1</v>
      </c>
      <c r="D3" s="50" t="s">
        <v>0</v>
      </c>
      <c r="E3" s="50" t="s">
        <v>1</v>
      </c>
      <c r="F3" s="51">
        <v>0.31090988554037902</v>
      </c>
      <c r="G3" s="50">
        <v>2</v>
      </c>
      <c r="H3" s="52">
        <v>9176</v>
      </c>
      <c r="I3" s="52">
        <v>12216</v>
      </c>
      <c r="J3" s="52">
        <v>808.56221616712071</v>
      </c>
      <c r="K3" s="52">
        <v>11642.716768813423</v>
      </c>
      <c r="L3" s="52">
        <v>12451.278984980543</v>
      </c>
      <c r="M3" s="47">
        <f>+(1/7)*(1/8)*VLOOKUP(B3,Calculos!$V$26:$AF$67,7,FALSE)</f>
        <v>2.4276275010828492E-3</v>
      </c>
      <c r="N3" s="52">
        <f t="shared" si="0"/>
        <v>411.92481118044162</v>
      </c>
      <c r="O3" s="57"/>
      <c r="P3" s="57"/>
      <c r="Q3" s="57"/>
      <c r="R3" s="57"/>
    </row>
    <row r="4" spans="1:19" x14ac:dyDescent="0.2">
      <c r="A4" s="48">
        <v>11</v>
      </c>
      <c r="B4" s="49">
        <v>19256</v>
      </c>
      <c r="C4" s="50">
        <v>1</v>
      </c>
      <c r="D4" s="50" t="s">
        <v>0</v>
      </c>
      <c r="E4" s="50" t="s">
        <v>2</v>
      </c>
      <c r="F4" s="51">
        <v>0.40506636333141005</v>
      </c>
      <c r="G4" s="50">
        <v>20</v>
      </c>
      <c r="H4" s="52">
        <v>12629</v>
      </c>
      <c r="I4" s="52">
        <v>16847</v>
      </c>
      <c r="J4" s="52">
        <v>1048.131868131868</v>
      </c>
      <c r="K4" s="52">
        <v>15761.321215217733</v>
      </c>
      <c r="L4" s="52">
        <v>16809.453083349603</v>
      </c>
      <c r="M4" s="47">
        <f>+(1/7)*(1/8)*VLOOKUP(B4,Calculos!$V$26:$AF$67,7,FALSE)</f>
        <v>3.5049457436436707E-3</v>
      </c>
      <c r="N4" s="52">
        <f t="shared" si="0"/>
        <v>285.31112123876136</v>
      </c>
      <c r="O4" s="57"/>
      <c r="P4" s="57"/>
      <c r="Q4" s="57"/>
      <c r="R4" s="57"/>
    </row>
    <row r="5" spans="1:19" x14ac:dyDescent="0.2">
      <c r="A5" s="48">
        <v>22</v>
      </c>
      <c r="B5" s="49">
        <v>19473</v>
      </c>
      <c r="C5" s="50">
        <v>1</v>
      </c>
      <c r="D5" s="50" t="s">
        <v>0</v>
      </c>
      <c r="E5" s="50" t="s">
        <v>3</v>
      </c>
      <c r="F5" s="51">
        <v>0.32857631389762804</v>
      </c>
      <c r="G5" s="50">
        <v>6</v>
      </c>
      <c r="H5" s="52">
        <v>8256</v>
      </c>
      <c r="I5" s="52">
        <v>11238</v>
      </c>
      <c r="J5" s="52">
        <v>1191.5177993527509</v>
      </c>
      <c r="K5" s="52">
        <v>10390.480063795854</v>
      </c>
      <c r="L5" s="52">
        <v>11581.997863148605</v>
      </c>
      <c r="M5" s="47">
        <f>+(1/7)*(1/8)*VLOOKUP(B5,Calculos!$V$26:$AF$67,7,FALSE)</f>
        <v>2.1665231279945191E-3</v>
      </c>
      <c r="N5" s="52">
        <f t="shared" si="0"/>
        <v>461.56903984942358</v>
      </c>
      <c r="O5" s="57"/>
      <c r="P5" s="57"/>
      <c r="Q5" s="57"/>
      <c r="R5" s="57"/>
    </row>
    <row r="6" spans="1:19" x14ac:dyDescent="0.2">
      <c r="A6" s="48">
        <v>27</v>
      </c>
      <c r="B6" s="49">
        <v>19548</v>
      </c>
      <c r="C6" s="50">
        <v>1</v>
      </c>
      <c r="D6" s="50" t="s">
        <v>0</v>
      </c>
      <c r="E6" s="50" t="s">
        <v>4</v>
      </c>
      <c r="F6" s="51">
        <v>0.24674267093769198</v>
      </c>
      <c r="G6" s="50">
        <v>1</v>
      </c>
      <c r="H6" s="52">
        <v>9935</v>
      </c>
      <c r="I6" s="52">
        <v>11998</v>
      </c>
      <c r="J6" s="52">
        <v>4279.2132296265154</v>
      </c>
      <c r="K6" s="52">
        <v>8016.2046558933216</v>
      </c>
      <c r="L6" s="52">
        <v>12295.417885519837</v>
      </c>
      <c r="M6" s="47">
        <f>+(1/7)*(1/8)*VLOOKUP(B6,Calculos!$V$26:$AF$67,7,FALSE)</f>
        <v>1.671462018992181E-3</v>
      </c>
      <c r="N6" s="52">
        <f t="shared" si="0"/>
        <v>598.27862591993357</v>
      </c>
      <c r="O6" s="57"/>
      <c r="P6" s="57"/>
      <c r="Q6" s="57"/>
      <c r="R6" s="57"/>
    </row>
    <row r="7" spans="1:19" x14ac:dyDescent="0.2">
      <c r="A7" s="48">
        <v>29</v>
      </c>
      <c r="B7" s="49">
        <v>19585</v>
      </c>
      <c r="C7" s="50">
        <v>1</v>
      </c>
      <c r="D7" s="50" t="s">
        <v>0</v>
      </c>
      <c r="E7" s="50" t="s">
        <v>5</v>
      </c>
      <c r="F7" s="51">
        <v>0.35378209029213797</v>
      </c>
      <c r="G7" s="50">
        <v>1</v>
      </c>
      <c r="H7" s="52">
        <v>3657</v>
      </c>
      <c r="I7" s="52">
        <v>4211</v>
      </c>
      <c r="J7" s="52">
        <v>603.77371832645849</v>
      </c>
      <c r="K7" s="52">
        <v>3676.6615088282501</v>
      </c>
      <c r="L7" s="52">
        <v>4280.4352271547086</v>
      </c>
      <c r="M7" s="47">
        <f>+(1/7)*(1/8)*VLOOKUP(B7,Calculos!$V$26:$AF$67,7,FALSE)</f>
        <v>7.666221525643005E-4</v>
      </c>
      <c r="N7" s="52">
        <f t="shared" si="0"/>
        <v>1304.4235633617761</v>
      </c>
      <c r="O7" s="57"/>
      <c r="P7" s="57"/>
      <c r="Q7" s="57"/>
      <c r="R7" s="57"/>
    </row>
    <row r="8" spans="1:19" x14ac:dyDescent="0.2">
      <c r="A8" s="48">
        <v>34</v>
      </c>
      <c r="B8" s="49">
        <v>19743</v>
      </c>
      <c r="C8" s="50">
        <v>1</v>
      </c>
      <c r="D8" s="50" t="s">
        <v>0</v>
      </c>
      <c r="E8" s="50" t="s">
        <v>6</v>
      </c>
      <c r="F8" s="51">
        <v>0.32334810554032101</v>
      </c>
      <c r="G8" s="50">
        <v>3</v>
      </c>
      <c r="H8" s="52">
        <v>7897</v>
      </c>
      <c r="I8" s="52">
        <v>9870</v>
      </c>
      <c r="J8" s="52">
        <v>2055.0073463935887</v>
      </c>
      <c r="K8" s="52">
        <v>7959.7212970010651</v>
      </c>
      <c r="L8" s="52">
        <v>10014.728643394654</v>
      </c>
      <c r="M8" s="47">
        <f>+(1/7)*(1/8)*VLOOKUP(B8,Calculos!$V$26:$AF$67,7,FALSE)</f>
        <v>1.6596846513791796E-3</v>
      </c>
      <c r="N8" s="52">
        <f t="shared" si="0"/>
        <v>602.52409948420689</v>
      </c>
      <c r="O8" s="57"/>
      <c r="P8" s="57"/>
      <c r="Q8" s="57"/>
      <c r="R8" s="57"/>
    </row>
    <row r="9" spans="1:19" x14ac:dyDescent="0.2">
      <c r="A9" s="48">
        <v>38</v>
      </c>
      <c r="B9" s="49">
        <v>19807</v>
      </c>
      <c r="C9" s="50">
        <v>1</v>
      </c>
      <c r="D9" s="50" t="s">
        <v>0</v>
      </c>
      <c r="E9" s="50" t="s">
        <v>49</v>
      </c>
      <c r="F9" s="51">
        <v>0.26499229262902602</v>
      </c>
      <c r="G9" s="50">
        <v>1</v>
      </c>
      <c r="H9" s="52">
        <v>9296</v>
      </c>
      <c r="I9" s="52">
        <v>11607</v>
      </c>
      <c r="J9" s="52">
        <v>4551.0203955500619</v>
      </c>
      <c r="K9" s="52">
        <v>7327.8959697853415</v>
      </c>
      <c r="L9" s="52">
        <v>11878.916365335404</v>
      </c>
      <c r="M9" s="47">
        <f>+(1/7)*(1/8)*VLOOKUP(B9,Calculos!$V$26:$AF$67,7,FALSE)</f>
        <v>1.5279425012705253E-3</v>
      </c>
      <c r="N9" s="52">
        <f t="shared" si="0"/>
        <v>654.47488970852839</v>
      </c>
      <c r="O9" s="57"/>
      <c r="P9" s="57"/>
      <c r="Q9" s="57"/>
      <c r="R9" s="57"/>
    </row>
    <row r="10" spans="1:19" x14ac:dyDescent="0.2">
      <c r="A10" s="48">
        <v>6</v>
      </c>
      <c r="B10" s="49">
        <v>19110</v>
      </c>
      <c r="C10" s="50">
        <v>2</v>
      </c>
      <c r="D10" s="50" t="s">
        <v>8</v>
      </c>
      <c r="E10" s="50" t="s">
        <v>9</v>
      </c>
      <c r="F10" s="51">
        <v>0.28261295646269002</v>
      </c>
      <c r="G10" s="50">
        <v>8</v>
      </c>
      <c r="H10" s="52">
        <v>8398</v>
      </c>
      <c r="I10" s="52">
        <v>9461</v>
      </c>
      <c r="J10" s="52">
        <v>435.4252873563218</v>
      </c>
      <c r="K10" s="52">
        <v>9208.9261036468324</v>
      </c>
      <c r="L10" s="52">
        <v>9644.3513910031543</v>
      </c>
      <c r="M10" s="47">
        <f>+(1/7)*(1/8)*VLOOKUP(B10,Calculos!$V$26:$AF$67,7,FALSE)</f>
        <v>2.0267080725940986E-3</v>
      </c>
      <c r="N10" s="52">
        <f t="shared" si="0"/>
        <v>493.41097197093774</v>
      </c>
      <c r="O10" s="57"/>
      <c r="P10" s="57"/>
      <c r="Q10" s="57"/>
      <c r="R10" s="57"/>
    </row>
    <row r="11" spans="1:19" x14ac:dyDescent="0.2">
      <c r="A11" s="48">
        <v>8</v>
      </c>
      <c r="B11" s="49">
        <v>19137</v>
      </c>
      <c r="C11" s="50">
        <v>2</v>
      </c>
      <c r="D11" s="50" t="s">
        <v>8</v>
      </c>
      <c r="E11" s="50" t="s">
        <v>16</v>
      </c>
      <c r="F11" s="51">
        <v>0.29195393056199498</v>
      </c>
      <c r="G11" s="50">
        <v>4</v>
      </c>
      <c r="H11" s="52">
        <v>8201</v>
      </c>
      <c r="I11" s="52">
        <v>10382</v>
      </c>
      <c r="J11" s="52">
        <v>647.07681692732285</v>
      </c>
      <c r="K11" s="52">
        <v>10205.392698295034</v>
      </c>
      <c r="L11" s="52">
        <v>10852.469515222358</v>
      </c>
      <c r="M11" s="47">
        <f>+(1/7)*(1/8)*VLOOKUP(B11,Calculos!$V$26:$AF$67,7,FALSE)</f>
        <v>2.2460112648136671E-3</v>
      </c>
      <c r="N11" s="52">
        <f t="shared" si="0"/>
        <v>445.23374199682019</v>
      </c>
      <c r="O11" s="57"/>
      <c r="P11" s="57"/>
      <c r="Q11" s="57"/>
      <c r="R11" s="57"/>
    </row>
    <row r="12" spans="1:19" x14ac:dyDescent="0.2">
      <c r="A12" s="48">
        <v>9</v>
      </c>
      <c r="B12" s="49">
        <v>19142</v>
      </c>
      <c r="C12" s="50">
        <v>2</v>
      </c>
      <c r="D12" s="50" t="s">
        <v>8</v>
      </c>
      <c r="E12" s="50" t="s">
        <v>10</v>
      </c>
      <c r="F12" s="51">
        <v>0.26386065106468098</v>
      </c>
      <c r="G12" s="50">
        <v>5</v>
      </c>
      <c r="H12" s="52">
        <v>7274</v>
      </c>
      <c r="I12" s="52">
        <v>8559</v>
      </c>
      <c r="J12" s="52">
        <v>2111.1497073815367</v>
      </c>
      <c r="K12" s="52">
        <v>6459.4098617585605</v>
      </c>
      <c r="L12" s="52">
        <v>8570.5595691400977</v>
      </c>
      <c r="M12" s="47">
        <f>+(1/7)*(1/8)*VLOOKUP(B12,Calculos!$V$26:$AF$67,7,FALSE)</f>
        <v>1.4215922642527986E-3</v>
      </c>
      <c r="N12" s="52">
        <f t="shared" si="0"/>
        <v>703.43657963390001</v>
      </c>
      <c r="O12" s="57"/>
      <c r="P12" s="57"/>
      <c r="Q12" s="57"/>
      <c r="R12" s="57"/>
    </row>
    <row r="13" spans="1:19" x14ac:dyDescent="0.2">
      <c r="A13" s="48">
        <v>10</v>
      </c>
      <c r="B13" s="49">
        <v>19212</v>
      </c>
      <c r="C13" s="50">
        <v>2</v>
      </c>
      <c r="D13" s="50" t="s">
        <v>8</v>
      </c>
      <c r="E13" s="50" t="s">
        <v>11</v>
      </c>
      <c r="F13" s="51">
        <v>0.29749618997911503</v>
      </c>
      <c r="G13" s="50">
        <v>5</v>
      </c>
      <c r="H13" s="52">
        <v>7501</v>
      </c>
      <c r="I13" s="52">
        <v>9098</v>
      </c>
      <c r="J13" s="52">
        <v>4766.847826086957</v>
      </c>
      <c r="K13" s="52">
        <v>4368.5458649040784</v>
      </c>
      <c r="L13" s="52">
        <v>9135.3936909910353</v>
      </c>
      <c r="M13" s="47">
        <f>+(1/7)*(1/8)*VLOOKUP(B13,Calculos!$V$26:$AF$67,7,FALSE)</f>
        <v>9.6143318669833586E-4</v>
      </c>
      <c r="N13" s="52">
        <f t="shared" si="0"/>
        <v>1040.1138777350786</v>
      </c>
      <c r="O13" s="57"/>
      <c r="P13" s="57"/>
      <c r="Q13" s="57"/>
      <c r="R13" s="57"/>
    </row>
    <row r="14" spans="1:19" x14ac:dyDescent="0.2">
      <c r="A14" s="48">
        <v>13</v>
      </c>
      <c r="B14" s="49">
        <v>19300</v>
      </c>
      <c r="C14" s="50">
        <v>2</v>
      </c>
      <c r="D14" s="50" t="s">
        <v>8</v>
      </c>
      <c r="E14" s="50" t="s">
        <v>44</v>
      </c>
      <c r="F14" s="51">
        <v>0</v>
      </c>
      <c r="G14" s="50">
        <v>1</v>
      </c>
      <c r="H14" s="52">
        <v>5452</v>
      </c>
      <c r="I14" s="52">
        <v>6135</v>
      </c>
      <c r="J14" s="52">
        <v>1977.116512345679</v>
      </c>
      <c r="K14" s="52">
        <v>4266.8690774012584</v>
      </c>
      <c r="L14" s="52">
        <v>6243.985589746937</v>
      </c>
      <c r="M14" s="47">
        <f>+(1/7)*(1/8)*VLOOKUP(B14,Calculos!$V$26:$AF$67,7,FALSE)</f>
        <v>9.3905607521887742E-4</v>
      </c>
      <c r="N14" s="52">
        <f t="shared" si="0"/>
        <v>1064.899132639036</v>
      </c>
      <c r="O14" s="57"/>
      <c r="P14" s="57"/>
      <c r="Q14" s="57"/>
      <c r="R14" s="57"/>
    </row>
    <row r="15" spans="1:19" x14ac:dyDescent="0.2">
      <c r="A15" s="48">
        <v>16</v>
      </c>
      <c r="B15" s="49">
        <v>19364</v>
      </c>
      <c r="C15" s="50">
        <v>2</v>
      </c>
      <c r="D15" s="50" t="s">
        <v>8</v>
      </c>
      <c r="E15" s="50" t="s">
        <v>45</v>
      </c>
      <c r="F15" s="51">
        <v>0.30943648736042301</v>
      </c>
      <c r="G15" s="50">
        <v>5</v>
      </c>
      <c r="H15" s="52">
        <v>3507</v>
      </c>
      <c r="I15" s="52">
        <v>3993</v>
      </c>
      <c r="J15" s="52">
        <v>484.27440633245385</v>
      </c>
      <c r="K15" s="52">
        <v>3670.2275178728205</v>
      </c>
      <c r="L15" s="52">
        <v>4154.501924205274</v>
      </c>
      <c r="M15" s="47">
        <f>+(1/7)*(1/8)*VLOOKUP(B15,Calculos!$V$26:$AF$67,7,FALSE)</f>
        <v>8.0774670738036763E-4</v>
      </c>
      <c r="N15" s="52">
        <f t="shared" si="0"/>
        <v>1238.0118555272554</v>
      </c>
      <c r="O15" s="57"/>
      <c r="P15" s="57"/>
      <c r="Q15" s="57"/>
      <c r="R15" s="57"/>
    </row>
    <row r="16" spans="1:19" x14ac:dyDescent="0.2">
      <c r="A16" s="48">
        <v>21</v>
      </c>
      <c r="B16" s="49">
        <v>19455</v>
      </c>
      <c r="C16" s="50">
        <v>2</v>
      </c>
      <c r="D16" s="50" t="s">
        <v>8</v>
      </c>
      <c r="E16" s="50" t="s">
        <v>12</v>
      </c>
      <c r="F16" s="51">
        <v>0.24670716749723798</v>
      </c>
      <c r="G16" s="50">
        <v>3</v>
      </c>
      <c r="H16" s="52">
        <v>9329</v>
      </c>
      <c r="I16" s="52">
        <v>10360</v>
      </c>
      <c r="J16" s="52">
        <v>6340.9592861126603</v>
      </c>
      <c r="K16" s="52">
        <v>4254.4623976172743</v>
      </c>
      <c r="L16" s="52">
        <v>10595.421683729935</v>
      </c>
      <c r="M16" s="47">
        <f>+(1/7)*(1/8)*VLOOKUP(B16,Calculos!$V$26:$AF$67,7,FALSE)</f>
        <v>9.3632560287179969E-4</v>
      </c>
      <c r="N16" s="52">
        <f t="shared" si="0"/>
        <v>1068.004545569303</v>
      </c>
      <c r="O16" s="57"/>
      <c r="P16" s="57"/>
      <c r="Q16" s="57"/>
      <c r="R16" s="57"/>
    </row>
    <row r="17" spans="1:18" x14ac:dyDescent="0.2">
      <c r="A17" s="48">
        <v>23</v>
      </c>
      <c r="B17" s="49">
        <v>19513</v>
      </c>
      <c r="C17" s="50">
        <v>2</v>
      </c>
      <c r="D17" s="50" t="s">
        <v>8</v>
      </c>
      <c r="E17" s="50" t="s">
        <v>13</v>
      </c>
      <c r="F17" s="51">
        <v>0.26770320803110598</v>
      </c>
      <c r="G17" s="50">
        <v>6</v>
      </c>
      <c r="H17" s="52">
        <v>2877</v>
      </c>
      <c r="I17" s="52">
        <v>3336</v>
      </c>
      <c r="J17" s="52">
        <v>1631.9812416257257</v>
      </c>
      <c r="K17" s="52">
        <v>1720.5532148745192</v>
      </c>
      <c r="L17" s="52">
        <v>3352.5344565002451</v>
      </c>
      <c r="M17" s="47">
        <f>+(1/7)*(1/8)*VLOOKUP(B17,Calculos!$V$26:$AF$67,7,FALSE)</f>
        <v>3.7866077441244792E-4</v>
      </c>
      <c r="N17" s="52">
        <f t="shared" si="0"/>
        <v>2640.8861640122564</v>
      </c>
      <c r="O17" s="57"/>
      <c r="P17" s="57"/>
      <c r="Q17" s="57"/>
      <c r="R17" s="57"/>
    </row>
    <row r="18" spans="1:18" x14ac:dyDescent="0.2">
      <c r="A18" s="48">
        <v>28</v>
      </c>
      <c r="B18" s="49">
        <v>19573</v>
      </c>
      <c r="C18" s="50">
        <v>2</v>
      </c>
      <c r="D18" s="50" t="s">
        <v>8</v>
      </c>
      <c r="E18" s="50" t="s">
        <v>14</v>
      </c>
      <c r="F18" s="51">
        <v>0.19761156022783999</v>
      </c>
      <c r="G18" s="50">
        <v>1</v>
      </c>
      <c r="H18" s="52">
        <v>12429</v>
      </c>
      <c r="I18" s="52">
        <v>13907</v>
      </c>
      <c r="J18" s="52">
        <v>11839.914162025038</v>
      </c>
      <c r="K18" s="52">
        <v>2143.6231071228267</v>
      </c>
      <c r="L18" s="52">
        <v>13983.537269147864</v>
      </c>
      <c r="M18" s="47">
        <f>+(1/7)*(1/8)*VLOOKUP(B18,Calculos!$V$26:$AF$67,7,FALSE)</f>
        <v>4.7177034617365532E-4</v>
      </c>
      <c r="N18" s="52">
        <f t="shared" si="0"/>
        <v>2119.6754058634856</v>
      </c>
      <c r="O18" s="57"/>
      <c r="P18" s="57"/>
      <c r="Q18" s="57"/>
      <c r="R18" s="57"/>
    </row>
    <row r="19" spans="1:18" x14ac:dyDescent="0.2">
      <c r="A19" s="48">
        <v>32</v>
      </c>
      <c r="B19" s="49">
        <v>19698</v>
      </c>
      <c r="C19" s="50">
        <v>2</v>
      </c>
      <c r="D19" s="50" t="s">
        <v>8</v>
      </c>
      <c r="E19" s="50" t="s">
        <v>47</v>
      </c>
      <c r="F19" s="51">
        <v>0.257981022039174</v>
      </c>
      <c r="G19" s="50">
        <v>1</v>
      </c>
      <c r="H19" s="52">
        <v>29001</v>
      </c>
      <c r="I19" s="52">
        <v>35751</v>
      </c>
      <c r="J19" s="52">
        <v>19714.904184052368</v>
      </c>
      <c r="K19" s="52">
        <v>16789.556521589719</v>
      </c>
      <c r="L19" s="52">
        <v>36504.460705642086</v>
      </c>
      <c r="M19" s="47">
        <f>+(1/7)*(1/8)*VLOOKUP(B19,Calculos!$V$26:$AF$67,7,FALSE)</f>
        <v>3.6950594840918002E-3</v>
      </c>
      <c r="N19" s="52">
        <f t="shared" si="0"/>
        <v>270.63163781402227</v>
      </c>
      <c r="O19" s="57"/>
      <c r="P19" s="57"/>
      <c r="Q19" s="57"/>
      <c r="R19" s="57"/>
    </row>
    <row r="20" spans="1:18" x14ac:dyDescent="0.2">
      <c r="A20" s="48">
        <v>36</v>
      </c>
      <c r="B20" s="49">
        <v>19780</v>
      </c>
      <c r="C20" s="50">
        <v>2</v>
      </c>
      <c r="D20" s="50" t="s">
        <v>8</v>
      </c>
      <c r="E20" s="50" t="s">
        <v>48</v>
      </c>
      <c r="F20" s="51">
        <v>0.34724402378858998</v>
      </c>
      <c r="G20" s="50">
        <v>1</v>
      </c>
      <c r="H20" s="52">
        <v>7090</v>
      </c>
      <c r="I20" s="52">
        <v>9576</v>
      </c>
      <c r="J20" s="52">
        <v>2116.930094043887</v>
      </c>
      <c r="K20" s="52">
        <v>7633.3061432377372</v>
      </c>
      <c r="L20" s="52">
        <v>9750.2362372816242</v>
      </c>
      <c r="M20" s="47">
        <f>+(1/7)*(1/8)*VLOOKUP(B20,Calculos!$V$26:$AF$67,7,FALSE)</f>
        <v>1.6799443286829689E-3</v>
      </c>
      <c r="N20" s="52">
        <f t="shared" si="0"/>
        <v>595.25782070645937</v>
      </c>
      <c r="O20" s="57"/>
      <c r="P20" s="57"/>
      <c r="Q20" s="57"/>
      <c r="R20" s="57"/>
    </row>
    <row r="21" spans="1:18" x14ac:dyDescent="0.2">
      <c r="A21" s="48">
        <v>40</v>
      </c>
      <c r="B21" s="49">
        <v>19821</v>
      </c>
      <c r="C21" s="50">
        <v>2</v>
      </c>
      <c r="D21" s="50" t="s">
        <v>8</v>
      </c>
      <c r="E21" s="50" t="s">
        <v>15</v>
      </c>
      <c r="F21" s="51">
        <v>0.316796650834198</v>
      </c>
      <c r="G21" s="50">
        <v>1</v>
      </c>
      <c r="H21" s="52">
        <v>7752</v>
      </c>
      <c r="I21" s="52">
        <v>8866</v>
      </c>
      <c r="J21" s="52">
        <v>769.51372388365428</v>
      </c>
      <c r="K21" s="52">
        <v>8461.7339902980748</v>
      </c>
      <c r="L21" s="52">
        <v>9231.247714181729</v>
      </c>
      <c r="M21" s="47">
        <f>+(1/7)*(1/8)*VLOOKUP(B21,Calculos!$V$26:$AF$67,7,FALSE)</f>
        <v>1.8622654143667862E-3</v>
      </c>
      <c r="N21" s="52">
        <f t="shared" si="0"/>
        <v>536.98038544093538</v>
      </c>
      <c r="O21" s="57"/>
      <c r="P21" s="57"/>
      <c r="Q21" s="57"/>
      <c r="R21" s="57"/>
    </row>
    <row r="22" spans="1:18" x14ac:dyDescent="0.2">
      <c r="A22" s="48">
        <v>42</v>
      </c>
      <c r="B22" s="49">
        <v>19845</v>
      </c>
      <c r="C22" s="50">
        <v>2</v>
      </c>
      <c r="D22" s="50" t="s">
        <v>8</v>
      </c>
      <c r="E22" s="50" t="s">
        <v>51</v>
      </c>
      <c r="F22" s="51">
        <v>0.24628508883404598</v>
      </c>
      <c r="G22" s="50">
        <v>1</v>
      </c>
      <c r="H22" s="52">
        <v>6326</v>
      </c>
      <c r="I22" s="52">
        <v>7201</v>
      </c>
      <c r="J22" s="52">
        <v>5446.0744375131426</v>
      </c>
      <c r="K22" s="52">
        <v>1956.4145658263305</v>
      </c>
      <c r="L22" s="52">
        <v>7402.4890033394731</v>
      </c>
      <c r="M22" s="47">
        <f>+(1/7)*(1/8)*VLOOKUP(B22,Calculos!$V$26:$AF$67,7,FALSE)</f>
        <v>4.305693355852523E-4</v>
      </c>
      <c r="N22" s="52">
        <f t="shared" si="0"/>
        <v>2322.5063128119605</v>
      </c>
      <c r="O22" s="57"/>
      <c r="P22" s="57"/>
      <c r="Q22" s="57"/>
      <c r="R22" s="57"/>
    </row>
    <row r="23" spans="1:18" x14ac:dyDescent="0.2">
      <c r="A23" s="48">
        <v>15</v>
      </c>
      <c r="B23" s="49">
        <v>19355</v>
      </c>
      <c r="C23" s="50">
        <v>3</v>
      </c>
      <c r="D23" s="50" t="s">
        <v>17</v>
      </c>
      <c r="E23" s="50" t="s">
        <v>18</v>
      </c>
      <c r="F23" s="51">
        <v>0.34941643103060005</v>
      </c>
      <c r="G23" s="50">
        <v>7</v>
      </c>
      <c r="H23" s="52">
        <v>6794</v>
      </c>
      <c r="I23" s="52">
        <v>7890</v>
      </c>
      <c r="J23" s="52">
        <v>481.26299694189601</v>
      </c>
      <c r="K23" s="52">
        <v>7559.5400964781829</v>
      </c>
      <c r="L23" s="52">
        <v>8040.8030934200788</v>
      </c>
      <c r="M23" s="47">
        <f>+(1/7)*(1/8)*VLOOKUP(B23,Calculos!$V$26:$AF$67,7,FALSE)</f>
        <v>6.2607282077625712E-3</v>
      </c>
      <c r="N23" s="52">
        <f t="shared" si="0"/>
        <v>159.725828500288</v>
      </c>
      <c r="O23" s="57"/>
      <c r="P23" s="57"/>
      <c r="Q23" s="57"/>
      <c r="R23" s="57"/>
    </row>
    <row r="24" spans="1:18" x14ac:dyDescent="0.2">
      <c r="A24" s="48">
        <v>24</v>
      </c>
      <c r="B24" s="49">
        <v>19517</v>
      </c>
      <c r="C24" s="50">
        <v>3</v>
      </c>
      <c r="D24" s="50" t="s">
        <v>17</v>
      </c>
      <c r="E24" s="50" t="s">
        <v>19</v>
      </c>
      <c r="F24" s="51">
        <v>0.37866287880761296</v>
      </c>
      <c r="G24" s="50">
        <v>21</v>
      </c>
      <c r="H24" s="52">
        <v>8624</v>
      </c>
      <c r="I24" s="52">
        <v>9511</v>
      </c>
      <c r="J24" s="52">
        <v>1109.6523056210031</v>
      </c>
      <c r="K24" s="52">
        <v>8555.1756570494108</v>
      </c>
      <c r="L24" s="52">
        <v>9664.8279626704134</v>
      </c>
      <c r="M24" s="47">
        <f>+(1/7)*(1/8)*VLOOKUP(B24,Calculos!$V$26:$AF$67,7,FALSE)</f>
        <v>7.0853026605951957E-3</v>
      </c>
      <c r="N24" s="52">
        <f t="shared" si="0"/>
        <v>141.1372312380507</v>
      </c>
      <c r="O24" s="57"/>
      <c r="P24" s="57"/>
      <c r="Q24" s="57"/>
      <c r="R24" s="57"/>
    </row>
    <row r="25" spans="1:18" x14ac:dyDescent="0.2">
      <c r="A25" s="48">
        <v>41</v>
      </c>
      <c r="B25" s="49">
        <v>19824</v>
      </c>
      <c r="C25" s="50">
        <v>3</v>
      </c>
      <c r="D25" s="50" t="s">
        <v>17</v>
      </c>
      <c r="E25" s="50" t="s">
        <v>50</v>
      </c>
      <c r="F25" s="51">
        <v>0.33711452822327098</v>
      </c>
      <c r="G25" s="50">
        <v>4</v>
      </c>
      <c r="H25" s="52">
        <v>4169</v>
      </c>
      <c r="I25" s="52">
        <v>5586</v>
      </c>
      <c r="J25" s="52">
        <v>377.01288855193332</v>
      </c>
      <c r="K25" s="52">
        <v>5446.9593355996385</v>
      </c>
      <c r="L25" s="52">
        <v>5823.9722241515719</v>
      </c>
      <c r="M25" s="47">
        <f>+(1/7)*(1/8)*VLOOKUP(B25,Calculos!$V$26:$AF$67,7,FALSE)</f>
        <v>4.5111119887850902E-3</v>
      </c>
      <c r="N25" s="52">
        <f t="shared" si="0"/>
        <v>221.67483371861823</v>
      </c>
      <c r="O25" s="57"/>
      <c r="P25" s="57"/>
      <c r="Q25" s="57"/>
      <c r="R25" s="57"/>
    </row>
    <row r="26" spans="1:18" x14ac:dyDescent="0.2">
      <c r="A26" s="48">
        <v>14</v>
      </c>
      <c r="B26" s="49">
        <v>19318</v>
      </c>
      <c r="C26" s="50">
        <v>4</v>
      </c>
      <c r="D26" s="50" t="s">
        <v>21</v>
      </c>
      <c r="E26" s="50" t="s">
        <v>23</v>
      </c>
      <c r="F26" s="51">
        <v>0.41933872644412501</v>
      </c>
      <c r="G26" s="50">
        <v>1</v>
      </c>
      <c r="H26" s="52">
        <v>6157</v>
      </c>
      <c r="I26" s="52">
        <v>7046</v>
      </c>
      <c r="J26" s="52">
        <v>4155.7870370370365</v>
      </c>
      <c r="K26" s="52">
        <v>2910.8493861444026</v>
      </c>
      <c r="L26" s="52">
        <v>7066.6364231814387</v>
      </c>
      <c r="M26" s="47">
        <f>+(1/7)*(1/8)*VLOOKUP(B26,Calculos!$V$26:$AF$67,7,FALSE)</f>
        <v>6.5631232711775567E-3</v>
      </c>
      <c r="N26" s="52">
        <f t="shared" si="0"/>
        <v>152.36648142684967</v>
      </c>
      <c r="O26" s="57"/>
      <c r="P26" s="57"/>
      <c r="Q26" s="57"/>
      <c r="R26" s="57"/>
    </row>
    <row r="27" spans="1:18" x14ac:dyDescent="0.2">
      <c r="A27" s="48">
        <v>19</v>
      </c>
      <c r="B27" s="49">
        <v>19418</v>
      </c>
      <c r="C27" s="50">
        <v>4</v>
      </c>
      <c r="D27" s="50" t="s">
        <v>21</v>
      </c>
      <c r="E27" s="50" t="s">
        <v>46</v>
      </c>
      <c r="F27" s="51">
        <v>0.47117749068342396</v>
      </c>
      <c r="G27" s="50">
        <v>3</v>
      </c>
      <c r="H27" s="52">
        <v>3992</v>
      </c>
      <c r="I27" s="52">
        <v>4962</v>
      </c>
      <c r="J27" s="52">
        <v>593.89440000000002</v>
      </c>
      <c r="K27" s="52">
        <v>4460.5130200538761</v>
      </c>
      <c r="L27" s="52">
        <v>5054.4074200538762</v>
      </c>
      <c r="M27" s="47">
        <f>+(1/7)*(1/8)*VLOOKUP(B27,Calculos!$V$26:$AF$67,7,FALSE)</f>
        <v>4.694269943158272E-3</v>
      </c>
      <c r="N27" s="52">
        <f t="shared" si="0"/>
        <v>213.02567004214654</v>
      </c>
      <c r="O27" s="57"/>
      <c r="P27" s="57"/>
      <c r="Q27" s="57"/>
      <c r="R27" s="57"/>
    </row>
    <row r="28" spans="1:18" x14ac:dyDescent="0.2">
      <c r="A28" s="48">
        <v>39</v>
      </c>
      <c r="B28" s="49">
        <v>19809</v>
      </c>
      <c r="C28" s="50">
        <v>4</v>
      </c>
      <c r="D28" s="50" t="s">
        <v>21</v>
      </c>
      <c r="E28" s="50" t="s">
        <v>22</v>
      </c>
      <c r="F28" s="51">
        <v>0.43387672654207698</v>
      </c>
      <c r="G28" s="50">
        <v>11</v>
      </c>
      <c r="H28" s="52">
        <v>5780</v>
      </c>
      <c r="I28" s="52">
        <v>6974</v>
      </c>
      <c r="J28" s="52">
        <v>1841.1498563676987</v>
      </c>
      <c r="K28" s="52">
        <v>5264.9228597358078</v>
      </c>
      <c r="L28" s="52">
        <v>7106.0727161035065</v>
      </c>
      <c r="M28" s="47">
        <f>+(1/7)*(1/8)*VLOOKUP(B28,Calculos!$V$26:$AF$67,7,FALSE)</f>
        <v>6.5997496428070275E-3</v>
      </c>
      <c r="N28" s="52">
        <f t="shared" si="0"/>
        <v>151.52089914348275</v>
      </c>
      <c r="O28" s="57"/>
      <c r="P28" s="57"/>
      <c r="Q28" s="57"/>
      <c r="R28" s="57"/>
    </row>
    <row r="29" spans="1:18" x14ac:dyDescent="0.2">
      <c r="A29" s="48">
        <v>3</v>
      </c>
      <c r="B29" s="49">
        <v>19050</v>
      </c>
      <c r="C29" s="50">
        <v>5</v>
      </c>
      <c r="D29" s="50" t="s">
        <v>24</v>
      </c>
      <c r="E29" s="50" t="s">
        <v>25</v>
      </c>
      <c r="F29" s="51">
        <v>0.60319183180066704</v>
      </c>
      <c r="G29" s="50">
        <v>13</v>
      </c>
      <c r="H29" s="52">
        <v>7488</v>
      </c>
      <c r="I29" s="52">
        <v>8717</v>
      </c>
      <c r="J29" s="52">
        <v>951.46037037037036</v>
      </c>
      <c r="K29" s="52">
        <v>7912.7967923562528</v>
      </c>
      <c r="L29" s="52">
        <v>8864.2571627266225</v>
      </c>
      <c r="M29" s="47">
        <f>+(1/7)*(1/8)*VLOOKUP(B29,Calculos!$V$26:$AF$67,7,FALSE)</f>
        <v>3.5373782752475178E-3</v>
      </c>
      <c r="N29" s="52">
        <f t="shared" si="0"/>
        <v>282.69523986094697</v>
      </c>
      <c r="O29" s="57"/>
      <c r="P29" s="57"/>
      <c r="Q29" s="57"/>
      <c r="R29" s="57"/>
    </row>
    <row r="30" spans="1:18" x14ac:dyDescent="0.2">
      <c r="A30" s="48">
        <v>4</v>
      </c>
      <c r="B30" s="49">
        <v>19075</v>
      </c>
      <c r="C30" s="50">
        <v>5</v>
      </c>
      <c r="D30" s="50" t="s">
        <v>24</v>
      </c>
      <c r="E30" s="50" t="s">
        <v>26</v>
      </c>
      <c r="F30" s="51">
        <v>0.327033319685678</v>
      </c>
      <c r="G30" s="50">
        <v>9</v>
      </c>
      <c r="H30" s="52">
        <v>6722</v>
      </c>
      <c r="I30" s="52">
        <v>8193</v>
      </c>
      <c r="J30" s="52">
        <v>2038.1531615056556</v>
      </c>
      <c r="K30" s="52">
        <v>6283.4747056951956</v>
      </c>
      <c r="L30" s="52">
        <v>8321.6278672008521</v>
      </c>
      <c r="M30" s="47">
        <f>+(1/7)*(1/8)*VLOOKUP(B30,Calculos!$V$26:$AF$67,7,FALSE)</f>
        <v>2.5074889535533847E-3</v>
      </c>
      <c r="N30" s="52">
        <f t="shared" si="0"/>
        <v>398.80534611444295</v>
      </c>
      <c r="O30" s="57"/>
      <c r="P30" s="57"/>
      <c r="Q30" s="57"/>
      <c r="R30" s="57"/>
    </row>
    <row r="31" spans="1:18" x14ac:dyDescent="0.2">
      <c r="A31" s="48">
        <v>5</v>
      </c>
      <c r="B31" s="49">
        <v>19100</v>
      </c>
      <c r="C31" s="50">
        <v>5</v>
      </c>
      <c r="D31" s="50" t="s">
        <v>24</v>
      </c>
      <c r="E31" s="50" t="s">
        <v>43</v>
      </c>
      <c r="F31" s="51">
        <v>0.329219179632387</v>
      </c>
      <c r="G31" s="50">
        <v>14</v>
      </c>
      <c r="H31" s="52">
        <v>12670</v>
      </c>
      <c r="I31" s="52">
        <v>15456</v>
      </c>
      <c r="J31" s="52">
        <v>1795.9609561752986</v>
      </c>
      <c r="K31" s="52">
        <v>13232.094768075573</v>
      </c>
      <c r="L31" s="52">
        <v>15028.055724250871</v>
      </c>
      <c r="M31" s="47">
        <f>+(1/7)*(1/8)*VLOOKUP(B31,Calculos!$V$26:$AF$67,7,FALSE)</f>
        <v>5.2804113993246546E-3</v>
      </c>
      <c r="N31" s="52">
        <f t="shared" si="0"/>
        <v>189.37918362343819</v>
      </c>
      <c r="O31" s="57"/>
      <c r="P31" s="57"/>
      <c r="Q31" s="57"/>
      <c r="R31" s="57"/>
    </row>
    <row r="32" spans="1:18" x14ac:dyDescent="0.2">
      <c r="A32" s="48">
        <v>12</v>
      </c>
      <c r="B32" s="49">
        <v>19290</v>
      </c>
      <c r="C32" s="50">
        <v>5</v>
      </c>
      <c r="D32" s="50" t="s">
        <v>24</v>
      </c>
      <c r="E32" s="50" t="s">
        <v>29</v>
      </c>
      <c r="F32" s="51">
        <v>0.29471862176479996</v>
      </c>
      <c r="G32" s="50">
        <v>2</v>
      </c>
      <c r="H32" s="52">
        <v>1432</v>
      </c>
      <c r="I32" s="52">
        <v>1928</v>
      </c>
      <c r="J32" s="52">
        <v>408.33006535947715</v>
      </c>
      <c r="K32" s="52">
        <v>1558.0882352941176</v>
      </c>
      <c r="L32" s="52">
        <v>1966.4183006535948</v>
      </c>
      <c r="M32" s="47">
        <f>+(1/7)*(1/8)*VLOOKUP(B32,Calculos!$V$26:$AF$67,7,FALSE)</f>
        <v>6.2177206428799239E-4</v>
      </c>
      <c r="N32" s="52">
        <f t="shared" si="0"/>
        <v>1608.3064155433333</v>
      </c>
      <c r="O32" s="57"/>
      <c r="P32" s="57"/>
      <c r="Q32" s="57"/>
      <c r="R32" s="57"/>
    </row>
    <row r="33" spans="1:18" x14ac:dyDescent="0.2">
      <c r="A33" s="48">
        <v>20</v>
      </c>
      <c r="B33" s="49">
        <v>19450</v>
      </c>
      <c r="C33" s="50">
        <v>5</v>
      </c>
      <c r="D33" s="50" t="s">
        <v>24</v>
      </c>
      <c r="E33" s="50" t="s">
        <v>30</v>
      </c>
      <c r="F33" s="51">
        <v>0.373652221836276</v>
      </c>
      <c r="G33" s="50">
        <v>7</v>
      </c>
      <c r="H33" s="52">
        <v>4761</v>
      </c>
      <c r="I33" s="52">
        <v>7116</v>
      </c>
      <c r="J33" s="52">
        <v>2049.5205778599025</v>
      </c>
      <c r="K33" s="52">
        <v>5191.2234837167607</v>
      </c>
      <c r="L33" s="52">
        <v>7240.7440615766627</v>
      </c>
      <c r="M33" s="47">
        <f>+(1/7)*(1/8)*VLOOKUP(B33,Calculos!$V$26:$AF$67,7,FALSE)</f>
        <v>2.071614218331849E-3</v>
      </c>
      <c r="N33" s="52">
        <f t="shared" si="0"/>
        <v>482.71535846343153</v>
      </c>
      <c r="O33" s="57"/>
      <c r="P33" s="57"/>
      <c r="Q33" s="57"/>
      <c r="R33" s="57"/>
    </row>
    <row r="34" spans="1:18" x14ac:dyDescent="0.2">
      <c r="A34" s="48">
        <v>25</v>
      </c>
      <c r="B34" s="49">
        <v>19532</v>
      </c>
      <c r="C34" s="50">
        <v>5</v>
      </c>
      <c r="D34" s="50" t="s">
        <v>24</v>
      </c>
      <c r="E34" s="50" t="s">
        <v>28</v>
      </c>
      <c r="F34" s="51">
        <v>0.36516860719931299</v>
      </c>
      <c r="G34" s="50">
        <v>22</v>
      </c>
      <c r="H34" s="52">
        <v>8995</v>
      </c>
      <c r="I34" s="52">
        <v>11636</v>
      </c>
      <c r="J34" s="52">
        <v>4387.8064001161019</v>
      </c>
      <c r="K34" s="52">
        <v>7448.0643343304282</v>
      </c>
      <c r="L34" s="52">
        <v>11835.870734446529</v>
      </c>
      <c r="M34" s="47">
        <f>+(1/7)*(1/8)*VLOOKUP(B34,Calculos!$V$26:$AF$67,7,FALSE)</f>
        <v>2.9722311170857513E-3</v>
      </c>
      <c r="N34" s="52">
        <f t="shared" si="0"/>
        <v>336.4475912561241</v>
      </c>
      <c r="O34" s="57"/>
      <c r="P34" s="57"/>
      <c r="Q34" s="57"/>
      <c r="R34" s="57"/>
    </row>
    <row r="35" spans="1:18" x14ac:dyDescent="0.2">
      <c r="A35" s="48">
        <v>37</v>
      </c>
      <c r="B35" s="49">
        <v>19785</v>
      </c>
      <c r="C35" s="50">
        <v>5</v>
      </c>
      <c r="D35" s="50" t="s">
        <v>24</v>
      </c>
      <c r="E35" s="50" t="s">
        <v>31</v>
      </c>
      <c r="F35" s="51">
        <v>0.32330948034611501</v>
      </c>
      <c r="G35" s="50">
        <v>5</v>
      </c>
      <c r="H35" s="52">
        <v>2121</v>
      </c>
      <c r="I35" s="52">
        <v>2722</v>
      </c>
      <c r="J35" s="52">
        <v>601.0214329454991</v>
      </c>
      <c r="K35" s="52">
        <v>2170.7134674134418</v>
      </c>
      <c r="L35" s="52">
        <v>2771.7349003589406</v>
      </c>
      <c r="M35" s="47">
        <f>+(1/7)*(1/8)*VLOOKUP(B35,Calculos!$V$26:$AF$67,7,FALSE)</f>
        <v>8.6624682931170642E-4</v>
      </c>
      <c r="N35" s="52">
        <f t="shared" si="0"/>
        <v>1154.4053798090895</v>
      </c>
      <c r="O35" s="57"/>
      <c r="P35" s="57"/>
      <c r="Q35" s="57"/>
      <c r="R35" s="57"/>
    </row>
    <row r="36" spans="1:18" x14ac:dyDescent="0.2">
      <c r="A36" s="48">
        <v>2</v>
      </c>
      <c r="B36" s="49">
        <v>19022</v>
      </c>
      <c r="C36" s="50">
        <v>6</v>
      </c>
      <c r="D36" s="50" t="s">
        <v>32</v>
      </c>
      <c r="E36" s="50" t="s">
        <v>35</v>
      </c>
      <c r="F36" s="51">
        <v>0.30783057613829601</v>
      </c>
      <c r="G36" s="50">
        <v>9</v>
      </c>
      <c r="H36" s="52">
        <v>5219</v>
      </c>
      <c r="I36" s="52">
        <v>7068</v>
      </c>
      <c r="J36" s="52">
        <v>629.10846953937585</v>
      </c>
      <c r="K36" s="52">
        <v>6329.6937379407118</v>
      </c>
      <c r="L36" s="52">
        <v>6958.8022074800874</v>
      </c>
      <c r="M36" s="47">
        <f>+(1/7)*(1/8)*VLOOKUP(B36,Calculos!$V$26:$AF$67,7,FALSE)</f>
        <v>4.6317395222157795E-3</v>
      </c>
      <c r="N36" s="52">
        <f t="shared" si="0"/>
        <v>215.90160569340688</v>
      </c>
      <c r="O36" s="57"/>
      <c r="P36" s="57"/>
      <c r="Q36" s="57"/>
      <c r="R36" s="57"/>
    </row>
    <row r="37" spans="1:18" x14ac:dyDescent="0.2">
      <c r="A37" s="48">
        <v>17</v>
      </c>
      <c r="B37" s="49">
        <v>19392</v>
      </c>
      <c r="C37" s="50">
        <v>6</v>
      </c>
      <c r="D37" s="50" t="s">
        <v>32</v>
      </c>
      <c r="E37" s="50" t="s">
        <v>36</v>
      </c>
      <c r="F37" s="51">
        <v>0.32603958546147199</v>
      </c>
      <c r="G37" s="50">
        <v>3</v>
      </c>
      <c r="H37" s="52">
        <v>3078</v>
      </c>
      <c r="I37" s="52">
        <v>3603</v>
      </c>
      <c r="J37" s="52">
        <v>747.08122941822182</v>
      </c>
      <c r="K37" s="52">
        <v>2821.4278032933798</v>
      </c>
      <c r="L37" s="52">
        <v>3568.5090327116018</v>
      </c>
      <c r="M37" s="47">
        <f>+(1/7)*(1/8)*VLOOKUP(B37,Calculos!$V$26:$AF$67,7,FALSE)</f>
        <v>2.0645736123473088E-3</v>
      </c>
      <c r="N37" s="52">
        <f t="shared" si="0"/>
        <v>484.36151368952835</v>
      </c>
      <c r="O37" s="57"/>
      <c r="P37" s="57"/>
      <c r="Q37" s="57"/>
      <c r="R37" s="57"/>
    </row>
    <row r="38" spans="1:18" x14ac:dyDescent="0.2">
      <c r="A38" s="48">
        <v>18</v>
      </c>
      <c r="B38" s="49">
        <v>19397</v>
      </c>
      <c r="C38" s="50">
        <v>6</v>
      </c>
      <c r="D38" s="50" t="s">
        <v>32</v>
      </c>
      <c r="E38" s="50" t="s">
        <v>34</v>
      </c>
      <c r="F38" s="51">
        <v>0.31551532433975099</v>
      </c>
      <c r="G38" s="50">
        <v>12</v>
      </c>
      <c r="H38" s="52">
        <v>5417</v>
      </c>
      <c r="I38" s="52">
        <v>7780</v>
      </c>
      <c r="J38" s="52">
        <v>525.50480769230762</v>
      </c>
      <c r="K38" s="52">
        <v>7298.2931247602401</v>
      </c>
      <c r="L38" s="52">
        <v>7823.7979324525477</v>
      </c>
      <c r="M38" s="47">
        <f>+(1/7)*(1/8)*VLOOKUP(B38,Calculos!$V$26:$AF$67,7,FALSE)</f>
        <v>5.3405100009886663E-3</v>
      </c>
      <c r="N38" s="52">
        <f t="shared" si="0"/>
        <v>187.24803432909482</v>
      </c>
      <c r="O38" s="57"/>
      <c r="P38" s="57"/>
      <c r="Q38" s="57"/>
      <c r="R38" s="57"/>
    </row>
    <row r="39" spans="1:18" x14ac:dyDescent="0.2">
      <c r="A39" s="48">
        <v>30</v>
      </c>
      <c r="B39" s="49">
        <v>19622</v>
      </c>
      <c r="C39" s="50">
        <v>6</v>
      </c>
      <c r="D39" s="50" t="s">
        <v>32</v>
      </c>
      <c r="E39" s="50" t="s">
        <v>37</v>
      </c>
      <c r="F39" s="51">
        <v>0.31077986216924403</v>
      </c>
      <c r="G39" s="50">
        <v>4</v>
      </c>
      <c r="H39" s="52">
        <v>3237</v>
      </c>
      <c r="I39" s="52">
        <v>3855</v>
      </c>
      <c r="J39" s="52">
        <v>385.70837166513343</v>
      </c>
      <c r="K39" s="52">
        <v>3490.710435117443</v>
      </c>
      <c r="L39" s="52">
        <v>3876.4188067825762</v>
      </c>
      <c r="M39" s="47">
        <f>+(1/7)*(1/8)*VLOOKUP(B39,Calculos!$V$26:$AF$67,7,FALSE)</f>
        <v>2.5543197115575739E-3</v>
      </c>
      <c r="N39" s="52">
        <f t="shared" si="0"/>
        <v>391.493670692546</v>
      </c>
      <c r="O39" s="57"/>
      <c r="P39" s="57"/>
      <c r="Q39" s="57"/>
      <c r="R39" s="57"/>
    </row>
    <row r="40" spans="1:18" x14ac:dyDescent="0.2">
      <c r="A40" s="48">
        <v>35</v>
      </c>
      <c r="B40" s="49">
        <v>19760</v>
      </c>
      <c r="C40" s="50">
        <v>6</v>
      </c>
      <c r="D40" s="50" t="s">
        <v>32</v>
      </c>
      <c r="E40" s="50" t="s">
        <v>33</v>
      </c>
      <c r="F40" s="51">
        <v>0.35262064584415903</v>
      </c>
      <c r="G40" s="50">
        <v>9</v>
      </c>
      <c r="H40" s="52">
        <v>3514</v>
      </c>
      <c r="I40" s="52">
        <v>4574</v>
      </c>
      <c r="J40" s="52">
        <v>199.23992994746061</v>
      </c>
      <c r="K40" s="52">
        <v>4463.2863554757632</v>
      </c>
      <c r="L40" s="52">
        <v>4662.5262854232242</v>
      </c>
      <c r="M40" s="47">
        <f>+(1/7)*(1/8)*VLOOKUP(B40,Calculos!$V$26:$AF$67,7,FALSE)</f>
        <v>3.2660000100335276E-3</v>
      </c>
      <c r="N40" s="52">
        <f t="shared" si="0"/>
        <v>306.18493476052817</v>
      </c>
      <c r="O40" s="57"/>
      <c r="P40" s="57"/>
      <c r="Q40" s="57"/>
      <c r="R40" s="57"/>
    </row>
    <row r="41" spans="1:18" x14ac:dyDescent="0.2">
      <c r="A41" s="48">
        <v>26</v>
      </c>
      <c r="B41" s="49">
        <v>19533</v>
      </c>
      <c r="C41" s="50">
        <v>7</v>
      </c>
      <c r="D41" s="50" t="s">
        <v>131</v>
      </c>
      <c r="E41" s="50" t="s">
        <v>38</v>
      </c>
      <c r="F41" s="51">
        <v>0.53987447823273893</v>
      </c>
      <c r="G41" s="50">
        <v>7</v>
      </c>
      <c r="H41" s="52">
        <v>2172</v>
      </c>
      <c r="I41" s="52">
        <v>2815</v>
      </c>
      <c r="J41" s="52">
        <v>733.87719298245611</v>
      </c>
      <c r="K41" s="52">
        <v>2223.5237242614144</v>
      </c>
      <c r="L41" s="52">
        <v>2957.4009172438705</v>
      </c>
      <c r="M41" s="47">
        <f>+(1/7)*(1/8)*VLOOKUP(B41,Calculos!$V$26:$AF$67,7,FALSE)</f>
        <v>5.9186779732955117E-3</v>
      </c>
      <c r="N41" s="52">
        <f t="shared" si="0"/>
        <v>168.95664952746219</v>
      </c>
      <c r="O41" s="57"/>
      <c r="P41" s="57"/>
      <c r="Q41" s="57"/>
      <c r="R41" s="57"/>
    </row>
    <row r="42" spans="1:18" x14ac:dyDescent="0.2">
      <c r="A42" s="48">
        <v>31</v>
      </c>
      <c r="B42" s="49">
        <v>19693</v>
      </c>
      <c r="C42" s="50">
        <v>7</v>
      </c>
      <c r="D42" s="50" t="s">
        <v>131</v>
      </c>
      <c r="E42" s="50" t="s">
        <v>39</v>
      </c>
      <c r="F42" s="51">
        <v>0.36247414065903</v>
      </c>
      <c r="G42" s="50">
        <v>6</v>
      </c>
      <c r="H42" s="52">
        <v>2999</v>
      </c>
      <c r="I42" s="52">
        <v>4204</v>
      </c>
      <c r="J42" s="52">
        <v>291</v>
      </c>
      <c r="K42" s="52">
        <v>3956.3931906614789</v>
      </c>
      <c r="L42" s="52">
        <v>4247.3931906614789</v>
      </c>
      <c r="M42" s="47">
        <f>+(1/7)*(1/8)*VLOOKUP(B42,Calculos!$V$26:$AF$67,7,FALSE)</f>
        <v>7.9179718565474035E-3</v>
      </c>
      <c r="N42" s="52">
        <f t="shared" si="0"/>
        <v>126.29496771614512</v>
      </c>
      <c r="O42" s="57"/>
      <c r="P42" s="57"/>
      <c r="Q42" s="57"/>
      <c r="R42" s="57"/>
    </row>
    <row r="43" spans="1:18" x14ac:dyDescent="0.2">
      <c r="A43" s="48">
        <v>33</v>
      </c>
      <c r="B43" s="49">
        <v>19701</v>
      </c>
      <c r="C43" s="50">
        <v>7</v>
      </c>
      <c r="D43" s="50" t="s">
        <v>131</v>
      </c>
      <c r="E43" s="50" t="s">
        <v>40</v>
      </c>
      <c r="F43" s="51">
        <v>0.529461753707683</v>
      </c>
      <c r="G43" s="50">
        <v>4</v>
      </c>
      <c r="H43" s="52">
        <v>1533</v>
      </c>
      <c r="I43" s="52">
        <v>1993</v>
      </c>
      <c r="J43" s="52">
        <v>333.99107142857144</v>
      </c>
      <c r="K43" s="52">
        <v>1674.9389329333621</v>
      </c>
      <c r="L43" s="52">
        <v>2008.9300043619337</v>
      </c>
      <c r="M43" s="47">
        <f>+(1/7)*(1/8)*VLOOKUP(B43,Calculos!$V$26:$AF$67,7,FALSE)</f>
        <v>4.0204930272999418E-3</v>
      </c>
      <c r="N43" s="52">
        <f t="shared" si="0"/>
        <v>248.72571428673112</v>
      </c>
      <c r="O43" s="57"/>
      <c r="P43" s="57"/>
      <c r="Q43" s="57"/>
      <c r="R43" s="57"/>
    </row>
    <row r="44" spans="1:18" x14ac:dyDescent="0.2">
      <c r="K44" s="27">
        <f>SUM(K2:K43)</f>
        <v>275985.070975215</v>
      </c>
    </row>
  </sheetData>
  <sortState xmlns:xlrd2="http://schemas.microsoft.com/office/spreadsheetml/2017/richdata2" ref="A2:N43">
    <sortCondition ref="C2:C43"/>
  </sortState>
  <phoneticPr fontId="17" type="noConversion"/>
  <conditionalFormatting sqref="F2:F43">
    <cfRule type="cellIs" dxfId="6" priority="3" operator="greaterThan">
      <formula>0.4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28"/>
  <sheetViews>
    <sheetView tabSelected="1" topLeftCell="X40" zoomScaleNormal="100" workbookViewId="0">
      <selection activeCell="AJ70" sqref="AJ70"/>
    </sheetView>
  </sheetViews>
  <sheetFormatPr baseColWidth="10" defaultRowHeight="16" x14ac:dyDescent="0.2"/>
  <cols>
    <col min="1" max="1" width="14" customWidth="1"/>
    <col min="2" max="2" width="20.33203125" bestFit="1" customWidth="1"/>
    <col min="8" max="8" width="24" bestFit="1" customWidth="1"/>
    <col min="9" max="9" width="21.5" bestFit="1" customWidth="1"/>
    <col min="10" max="10" width="10.6640625" customWidth="1"/>
    <col min="11" max="11" width="17" bestFit="1" customWidth="1"/>
    <col min="12" max="12" width="28.33203125" bestFit="1" customWidth="1"/>
    <col min="13" max="13" width="12.1640625" customWidth="1"/>
    <col min="14" max="14" width="17" bestFit="1" customWidth="1"/>
    <col min="15" max="15" width="23.1640625" bestFit="1" customWidth="1"/>
    <col min="16" max="16" width="12" bestFit="1" customWidth="1"/>
    <col min="17" max="17" width="7" bestFit="1" customWidth="1"/>
    <col min="18" max="18" width="17" bestFit="1" customWidth="1"/>
    <col min="19" max="19" width="30" bestFit="1" customWidth="1"/>
    <col min="20" max="20" width="28.5" bestFit="1" customWidth="1"/>
    <col min="21" max="21" width="30" bestFit="1" customWidth="1"/>
    <col min="22" max="22" width="25" bestFit="1" customWidth="1"/>
    <col min="23" max="23" width="25" customWidth="1"/>
    <col min="24" max="24" width="26" bestFit="1" customWidth="1"/>
    <col min="25" max="25" width="28.33203125" bestFit="1" customWidth="1"/>
    <col min="26" max="26" width="13.6640625" bestFit="1" customWidth="1"/>
    <col min="27" max="32" width="13.6640625" customWidth="1"/>
    <col min="33" max="33" width="12" bestFit="1" customWidth="1"/>
    <col min="34" max="35" width="12" customWidth="1"/>
    <col min="37" max="37" width="8" bestFit="1" customWidth="1"/>
    <col min="38" max="38" width="7.83203125" bestFit="1" customWidth="1"/>
    <col min="39" max="39" width="6.6640625" bestFit="1" customWidth="1"/>
    <col min="40" max="40" width="5" bestFit="1" customWidth="1"/>
    <col min="41" max="41" width="5.33203125" bestFit="1" customWidth="1"/>
    <col min="42" max="42" width="9" bestFit="1" customWidth="1"/>
    <col min="43" max="43" width="9.33203125" bestFit="1" customWidth="1"/>
    <col min="44" max="44" width="8.1640625" bestFit="1" customWidth="1"/>
    <col min="45" max="45" width="12.5" bestFit="1" customWidth="1"/>
    <col min="46" max="46" width="6.6640625" bestFit="1" customWidth="1"/>
    <col min="47" max="47" width="6" bestFit="1" customWidth="1"/>
    <col min="48" max="48" width="12.6640625" bestFit="1" customWidth="1"/>
    <col min="49" max="49" width="10.33203125" bestFit="1" customWidth="1"/>
    <col min="50" max="50" width="20.33203125" bestFit="1" customWidth="1"/>
    <col min="51" max="51" width="5.6640625" bestFit="1" customWidth="1"/>
    <col min="52" max="52" width="6.5" bestFit="1" customWidth="1"/>
    <col min="53" max="53" width="6.6640625" bestFit="1" customWidth="1"/>
    <col min="54" max="54" width="5.6640625" bestFit="1" customWidth="1"/>
    <col min="55" max="55" width="6.83203125" bestFit="1" customWidth="1"/>
    <col min="56" max="56" width="8.33203125" bestFit="1" customWidth="1"/>
    <col min="57" max="57" width="6.83203125" bestFit="1" customWidth="1"/>
    <col min="58" max="58" width="6.5" bestFit="1" customWidth="1"/>
    <col min="59" max="59" width="8.83203125" bestFit="1" customWidth="1"/>
    <col min="60" max="60" width="12" bestFit="1" customWidth="1"/>
  </cols>
  <sheetData>
    <row r="1" spans="1:15" ht="17" x14ac:dyDescent="0.2">
      <c r="A1" s="31" t="s">
        <v>122</v>
      </c>
      <c r="B1" s="31" t="s">
        <v>41</v>
      </c>
    </row>
    <row r="2" spans="1:15" x14ac:dyDescent="0.2">
      <c r="A2" s="1">
        <v>19001</v>
      </c>
      <c r="B2" s="30" t="s">
        <v>42</v>
      </c>
      <c r="C2" t="e">
        <f>VLOOKUP(A2,CNPV_2018_DANE_CAUCA!A5:AB46,19,FALSE)</f>
        <v>#N/A</v>
      </c>
    </row>
    <row r="3" spans="1:15" x14ac:dyDescent="0.2">
      <c r="A3" s="1">
        <v>19022</v>
      </c>
      <c r="B3" s="30" t="s">
        <v>35</v>
      </c>
    </row>
    <row r="4" spans="1:15" x14ac:dyDescent="0.2">
      <c r="A4" s="1">
        <v>19050</v>
      </c>
      <c r="B4" s="30" t="s">
        <v>25</v>
      </c>
      <c r="H4" s="32" t="s">
        <v>133</v>
      </c>
      <c r="I4" s="33" t="s">
        <v>134</v>
      </c>
      <c r="J4" s="32" t="s">
        <v>135</v>
      </c>
      <c r="K4" s="32" t="s">
        <v>136</v>
      </c>
    </row>
    <row r="5" spans="1:15" x14ac:dyDescent="0.2">
      <c r="A5" s="1">
        <v>19075</v>
      </c>
      <c r="B5" s="30" t="s">
        <v>26</v>
      </c>
      <c r="H5" s="34">
        <v>1</v>
      </c>
      <c r="I5" s="35" t="s">
        <v>54</v>
      </c>
      <c r="J5" s="36">
        <v>85641.498332514821</v>
      </c>
      <c r="K5" s="37">
        <v>0.29981966848994757</v>
      </c>
    </row>
    <row r="6" spans="1:15" x14ac:dyDescent="0.2">
      <c r="A6" s="1">
        <v>19100</v>
      </c>
      <c r="B6" s="30" t="s">
        <v>43</v>
      </c>
      <c r="H6" s="34">
        <v>2</v>
      </c>
      <c r="I6" s="35" t="s">
        <v>57</v>
      </c>
      <c r="J6" s="36">
        <v>81139.021064445071</v>
      </c>
      <c r="K6" s="38">
        <v>0.28405708530095541</v>
      </c>
    </row>
    <row r="7" spans="1:15" x14ac:dyDescent="0.2">
      <c r="A7" s="1">
        <v>19110</v>
      </c>
      <c r="B7" s="30" t="s">
        <v>9</v>
      </c>
      <c r="H7" s="34">
        <v>3</v>
      </c>
      <c r="I7" s="35" t="s">
        <v>59</v>
      </c>
      <c r="J7" s="36">
        <v>21561.675089127231</v>
      </c>
      <c r="K7" s="37">
        <v>7.5484600376914693E-2</v>
      </c>
    </row>
    <row r="8" spans="1:15" x14ac:dyDescent="0.2">
      <c r="A8" s="1">
        <v>19130</v>
      </c>
      <c r="B8" s="30" t="s">
        <v>1</v>
      </c>
      <c r="H8" s="34">
        <v>4</v>
      </c>
      <c r="I8" s="35" t="s">
        <v>58</v>
      </c>
      <c r="J8" s="36">
        <v>19227.116559338821</v>
      </c>
      <c r="K8" s="38">
        <v>6.7311616740478267E-2</v>
      </c>
    </row>
    <row r="9" spans="1:15" x14ac:dyDescent="0.2">
      <c r="A9" s="1">
        <v>19137</v>
      </c>
      <c r="B9" s="30" t="s">
        <v>16</v>
      </c>
      <c r="H9" s="34">
        <v>5</v>
      </c>
      <c r="I9" s="35" t="s">
        <v>56</v>
      </c>
      <c r="J9" s="36">
        <v>44747.916157252141</v>
      </c>
      <c r="K9" s="38">
        <v>0.15665659346351771</v>
      </c>
    </row>
    <row r="10" spans="1:15" x14ac:dyDescent="0.2">
      <c r="A10" s="1">
        <v>19142</v>
      </c>
      <c r="B10" s="30" t="s">
        <v>10</v>
      </c>
      <c r="H10" s="34">
        <v>6</v>
      </c>
      <c r="I10" s="35" t="s">
        <v>55</v>
      </c>
      <c r="J10" s="36">
        <v>24403.411456587539</v>
      </c>
      <c r="K10" s="39">
        <v>8.5433147193783046E-2</v>
      </c>
    </row>
    <row r="11" spans="1:15" x14ac:dyDescent="0.2">
      <c r="A11" s="1">
        <v>19212</v>
      </c>
      <c r="B11" s="30" t="s">
        <v>11</v>
      </c>
      <c r="H11" s="34">
        <v>7</v>
      </c>
      <c r="I11" s="35" t="s">
        <v>137</v>
      </c>
      <c r="J11" s="36">
        <v>8922.7241122672822</v>
      </c>
      <c r="K11" s="39">
        <v>3.1237288434403338E-2</v>
      </c>
    </row>
    <row r="12" spans="1:15" x14ac:dyDescent="0.2">
      <c r="A12" s="1">
        <v>19256</v>
      </c>
      <c r="B12" s="30" t="s">
        <v>2</v>
      </c>
    </row>
    <row r="13" spans="1:15" x14ac:dyDescent="0.2">
      <c r="A13" s="1">
        <v>19290</v>
      </c>
      <c r="B13" s="30" t="s">
        <v>29</v>
      </c>
      <c r="H13" s="140" t="s">
        <v>143</v>
      </c>
      <c r="I13" s="140"/>
    </row>
    <row r="14" spans="1:15" x14ac:dyDescent="0.2">
      <c r="A14" s="1">
        <v>19300</v>
      </c>
      <c r="B14" s="30" t="s">
        <v>44</v>
      </c>
      <c r="H14" s="40" t="s">
        <v>138</v>
      </c>
      <c r="I14" t="s">
        <v>141</v>
      </c>
      <c r="K14" s="40" t="s">
        <v>138</v>
      </c>
      <c r="L14" t="s">
        <v>155</v>
      </c>
      <c r="N14" s="40" t="s">
        <v>138</v>
      </c>
      <c r="O14" t="s">
        <v>156</v>
      </c>
    </row>
    <row r="15" spans="1:15" x14ac:dyDescent="0.2">
      <c r="A15" s="1">
        <v>19318</v>
      </c>
      <c r="B15" s="30" t="s">
        <v>23</v>
      </c>
      <c r="H15" s="41" t="s">
        <v>0</v>
      </c>
      <c r="I15" s="42">
        <v>8</v>
      </c>
      <c r="K15" s="41" t="s">
        <v>0</v>
      </c>
      <c r="L15" s="42">
        <v>18222.75</v>
      </c>
      <c r="N15" s="41" t="s">
        <v>0</v>
      </c>
      <c r="O15" s="42">
        <v>732897629.64285719</v>
      </c>
    </row>
    <row r="16" spans="1:15" x14ac:dyDescent="0.2">
      <c r="A16" s="1">
        <v>19355</v>
      </c>
      <c r="B16" s="30" t="s">
        <v>18</v>
      </c>
      <c r="H16" s="41" t="s">
        <v>8</v>
      </c>
      <c r="I16" s="42">
        <v>13</v>
      </c>
      <c r="K16" s="41" t="s">
        <v>8</v>
      </c>
      <c r="L16" s="42">
        <v>8856.6923076923085</v>
      </c>
      <c r="N16" s="41" t="s">
        <v>8</v>
      </c>
      <c r="O16" s="42">
        <v>42539545.397435896</v>
      </c>
    </row>
    <row r="17" spans="1:37" x14ac:dyDescent="0.2">
      <c r="A17" s="1">
        <v>19364</v>
      </c>
      <c r="B17" s="30" t="s">
        <v>45</v>
      </c>
      <c r="H17" s="41" t="s">
        <v>17</v>
      </c>
      <c r="I17" s="42">
        <v>3</v>
      </c>
      <c r="K17" s="41" t="s">
        <v>17</v>
      </c>
      <c r="L17" s="42">
        <v>6529</v>
      </c>
      <c r="N17" s="41" t="s">
        <v>17</v>
      </c>
      <c r="O17" s="42">
        <v>5014425</v>
      </c>
    </row>
    <row r="18" spans="1:37" x14ac:dyDescent="0.2">
      <c r="A18" s="1">
        <v>19392</v>
      </c>
      <c r="B18" s="30" t="s">
        <v>36</v>
      </c>
      <c r="H18" s="41" t="s">
        <v>21</v>
      </c>
      <c r="I18" s="42">
        <v>3</v>
      </c>
      <c r="K18" s="41" t="s">
        <v>21</v>
      </c>
      <c r="L18" s="42">
        <v>5309.666666666667</v>
      </c>
      <c r="N18" s="41" t="s">
        <v>21</v>
      </c>
      <c r="O18" s="42">
        <v>1337716.3333333358</v>
      </c>
    </row>
    <row r="19" spans="1:37" x14ac:dyDescent="0.2">
      <c r="A19" s="1">
        <v>19397</v>
      </c>
      <c r="B19" s="30" t="s">
        <v>34</v>
      </c>
      <c r="H19" s="41" t="s">
        <v>24</v>
      </c>
      <c r="I19" s="42">
        <v>7</v>
      </c>
      <c r="K19" s="41" t="s">
        <v>24</v>
      </c>
      <c r="L19" s="42">
        <v>6312.7142857142853</v>
      </c>
      <c r="N19" s="41" t="s">
        <v>24</v>
      </c>
      <c r="O19" s="42">
        <v>15493034.571428567</v>
      </c>
    </row>
    <row r="20" spans="1:37" x14ac:dyDescent="0.2">
      <c r="A20" s="1">
        <v>19418</v>
      </c>
      <c r="B20" s="30" t="s">
        <v>46</v>
      </c>
      <c r="H20" s="41" t="s">
        <v>32</v>
      </c>
      <c r="I20" s="42">
        <v>5</v>
      </c>
      <c r="K20" s="41" t="s">
        <v>32</v>
      </c>
      <c r="L20" s="42">
        <v>4093</v>
      </c>
      <c r="N20" s="41" t="s">
        <v>32</v>
      </c>
      <c r="O20" s="42">
        <v>1279763.5</v>
      </c>
    </row>
    <row r="21" spans="1:37" x14ac:dyDescent="0.2">
      <c r="A21" s="1">
        <v>19450</v>
      </c>
      <c r="B21" s="30" t="s">
        <v>30</v>
      </c>
      <c r="H21" s="41" t="s">
        <v>131</v>
      </c>
      <c r="I21" s="42">
        <v>3</v>
      </c>
      <c r="K21" s="41" t="s">
        <v>131</v>
      </c>
      <c r="L21" s="42">
        <v>2234.6666666666665</v>
      </c>
      <c r="N21" s="41" t="s">
        <v>131</v>
      </c>
      <c r="O21" s="42">
        <v>540234.33333333302</v>
      </c>
    </row>
    <row r="22" spans="1:37" x14ac:dyDescent="0.2">
      <c r="A22" s="1">
        <v>19455</v>
      </c>
      <c r="B22" s="30" t="s">
        <v>12</v>
      </c>
      <c r="H22" s="41" t="s">
        <v>139</v>
      </c>
      <c r="I22" s="42">
        <v>42</v>
      </c>
      <c r="K22" s="41" t="s">
        <v>139</v>
      </c>
      <c r="L22" s="42">
        <v>8756.9761904761908</v>
      </c>
      <c r="N22" s="41" t="s">
        <v>139</v>
      </c>
      <c r="O22" s="42">
        <v>165812329.97502905</v>
      </c>
    </row>
    <row r="23" spans="1:37" x14ac:dyDescent="0.2">
      <c r="A23" s="1">
        <v>19473</v>
      </c>
      <c r="B23" s="30" t="s">
        <v>3</v>
      </c>
    </row>
    <row r="24" spans="1:37" x14ac:dyDescent="0.2">
      <c r="A24" s="1">
        <v>19513</v>
      </c>
      <c r="B24" s="30" t="s">
        <v>13</v>
      </c>
      <c r="H24" s="140" t="s">
        <v>144</v>
      </c>
      <c r="I24" s="140"/>
      <c r="J24" s="140"/>
      <c r="K24" s="140"/>
      <c r="L24" s="140"/>
      <c r="M24" s="140"/>
      <c r="N24" s="140"/>
      <c r="O24" s="140"/>
      <c r="P24" s="140"/>
      <c r="AJ24" s="55" t="s">
        <v>158</v>
      </c>
      <c r="AK24" s="55"/>
    </row>
    <row r="25" spans="1:37" x14ac:dyDescent="0.2">
      <c r="A25" s="1">
        <v>19517</v>
      </c>
      <c r="B25" s="30" t="s">
        <v>19</v>
      </c>
      <c r="H25" s="40" t="s">
        <v>142</v>
      </c>
      <c r="I25" s="40" t="s">
        <v>140</v>
      </c>
      <c r="R25" s="40" t="s">
        <v>138</v>
      </c>
      <c r="S25" t="s">
        <v>190</v>
      </c>
      <c r="T25" t="s">
        <v>146</v>
      </c>
      <c r="V25" s="43" t="s">
        <v>138</v>
      </c>
      <c r="W25" s="43" t="s">
        <v>192</v>
      </c>
      <c r="X25" s="92" t="s">
        <v>190</v>
      </c>
      <c r="Y25" s="43" t="s">
        <v>146</v>
      </c>
      <c r="Z25" s="93" t="s">
        <v>193</v>
      </c>
      <c r="AA25" s="93" t="s">
        <v>201</v>
      </c>
      <c r="AB25" s="43" t="s">
        <v>191</v>
      </c>
      <c r="AC25" s="43" t="s">
        <v>195</v>
      </c>
      <c r="AD25" s="43" t="s">
        <v>202</v>
      </c>
      <c r="AE25" s="43"/>
      <c r="AF25" s="43"/>
      <c r="AG25" s="43" t="s">
        <v>196</v>
      </c>
      <c r="AH25" s="43" t="s">
        <v>216</v>
      </c>
      <c r="AI25" s="43"/>
      <c r="AJ25" s="56">
        <v>5345</v>
      </c>
      <c r="AK25" s="55">
        <f>+AJ25/X68</f>
        <v>1.4532631126747925E-2</v>
      </c>
    </row>
    <row r="26" spans="1:37" x14ac:dyDescent="0.2">
      <c r="A26" s="1">
        <v>19532</v>
      </c>
      <c r="B26" s="30" t="s">
        <v>28</v>
      </c>
      <c r="H26" s="40" t="s">
        <v>138</v>
      </c>
      <c r="I26" t="s">
        <v>0</v>
      </c>
      <c r="J26" t="s">
        <v>8</v>
      </c>
      <c r="K26" t="s">
        <v>17</v>
      </c>
      <c r="L26" t="s">
        <v>21</v>
      </c>
      <c r="M26" t="s">
        <v>24</v>
      </c>
      <c r="N26" t="s">
        <v>32</v>
      </c>
      <c r="O26" t="s">
        <v>131</v>
      </c>
      <c r="P26" t="s">
        <v>139</v>
      </c>
      <c r="R26" s="41">
        <v>19001</v>
      </c>
      <c r="S26" s="42">
        <v>19818.364985047963</v>
      </c>
      <c r="T26" s="42">
        <v>109402</v>
      </c>
      <c r="V26">
        <v>19001</v>
      </c>
      <c r="W26" t="str">
        <f>+VLOOKUP(V26,Consolidado!$B$2:$M$43,3,FALSE)</f>
        <v>1 Centro</v>
      </c>
      <c r="X26" s="27">
        <v>19818.364985047963</v>
      </c>
      <c r="Y26" s="27">
        <v>19818.364985047963</v>
      </c>
      <c r="Z26" s="26">
        <f t="shared" ref="Z26:Z67" si="0">+X26/SUM($X$26:$X$67)</f>
        <v>6.9381500038211447E-2</v>
      </c>
      <c r="AA26" s="26">
        <f t="shared" ref="AA26:AA67" si="1">+Y26/SUM($Y$26:$Y$67)</f>
        <v>6.9381500038211447E-2</v>
      </c>
      <c r="AB26" s="26">
        <f>+X26/SUM($X$26:$X$33)</f>
        <v>0.23141076897207535</v>
      </c>
      <c r="AC26" s="26">
        <f>+Y26/SUM($Y$26:$Y$33)</f>
        <v>0.23141076897207535</v>
      </c>
      <c r="AD26" s="26">
        <v>0.96677826351468799</v>
      </c>
      <c r="AE26" s="26">
        <v>0.4</v>
      </c>
      <c r="AF26" s="26">
        <f t="shared" ref="AF26:AF67" si="2">+Z26*AA26/SUM(AE26:AE67)</f>
        <v>1.1250551090402705E-2</v>
      </c>
      <c r="AG26" s="27">
        <f>1/(AB26*AC26*AD26)</f>
        <v>19.315501638979878</v>
      </c>
      <c r="AH26" s="27">
        <f>+Y26*AE26</f>
        <v>7927.345994019186</v>
      </c>
      <c r="AI26" s="27">
        <f>+X26*AF26</f>
        <v>222.96752779253015</v>
      </c>
      <c r="AJ26" s="56">
        <v>12370</v>
      </c>
      <c r="AK26" s="55">
        <f>+AJ26/X68</f>
        <v>3.3633049024859092E-2</v>
      </c>
    </row>
    <row r="27" spans="1:37" x14ac:dyDescent="0.2">
      <c r="A27" s="1">
        <v>19533</v>
      </c>
      <c r="B27" s="30" t="s">
        <v>38</v>
      </c>
      <c r="H27" s="41" t="s">
        <v>35</v>
      </c>
      <c r="I27" s="42"/>
      <c r="J27" s="42"/>
      <c r="K27" s="42"/>
      <c r="L27" s="42"/>
      <c r="M27" s="42"/>
      <c r="N27" s="42">
        <v>5219</v>
      </c>
      <c r="O27" s="42"/>
      <c r="P27" s="42">
        <v>5219</v>
      </c>
      <c r="R27" s="41">
        <v>19022</v>
      </c>
      <c r="S27" s="42">
        <v>6329.6937379407118</v>
      </c>
      <c r="T27" s="42">
        <v>7068</v>
      </c>
      <c r="V27">
        <v>19130</v>
      </c>
      <c r="W27" t="str">
        <f>+VLOOKUP(V27,Consolidado!$B$2:$M$43,3,FALSE)</f>
        <v>1 Centro</v>
      </c>
      <c r="X27" s="27">
        <v>11642.716768813423</v>
      </c>
      <c r="Y27" s="27">
        <v>11642.716768813423</v>
      </c>
      <c r="Z27" s="26">
        <f t="shared" si="0"/>
        <v>4.0759626465137408E-2</v>
      </c>
      <c r="AA27" s="26">
        <f t="shared" si="1"/>
        <v>4.0759626465137408E-2</v>
      </c>
      <c r="AB27" s="26">
        <f t="shared" ref="AB27:AB33" si="3">+X27/SUM($X$26:$X$33)</f>
        <v>0.13594714006063957</v>
      </c>
      <c r="AC27" s="26">
        <f t="shared" ref="AC27:AC33" si="4">+Y27/SUM($Y$26:$Y$33)</f>
        <v>0.13594714006063957</v>
      </c>
      <c r="AD27" s="26">
        <v>0.88703134268132744</v>
      </c>
      <c r="AE27" s="26">
        <f t="shared" ref="AE27:AE67" si="5">+Z27*AA27</f>
        <v>1.6613471495775297E-3</v>
      </c>
      <c r="AF27" s="26">
        <f t="shared" si="2"/>
        <v>5.9606930292010814E-2</v>
      </c>
      <c r="AG27" s="27">
        <f t="shared" ref="AG27:AG67" si="6">1/(AB27*AC27*AD27)</f>
        <v>60.99874263024833</v>
      </c>
      <c r="AH27" s="27">
        <f t="shared" ref="AH27:AH67" si="7">+Y27*AE27</f>
        <v>19.342594317206686</v>
      </c>
      <c r="AI27" s="27">
        <f t="shared" ref="AI27:AI67" si="8">+X27*AF27</f>
        <v>693.98660684828712</v>
      </c>
    </row>
    <row r="28" spans="1:37" x14ac:dyDescent="0.2">
      <c r="A28" s="1">
        <v>19548</v>
      </c>
      <c r="B28" s="30" t="s">
        <v>4</v>
      </c>
      <c r="H28" s="41" t="s">
        <v>25</v>
      </c>
      <c r="I28" s="42"/>
      <c r="J28" s="42"/>
      <c r="K28" s="42"/>
      <c r="L28" s="42"/>
      <c r="M28" s="42">
        <v>7488</v>
      </c>
      <c r="N28" s="42"/>
      <c r="O28" s="42"/>
      <c r="P28" s="42">
        <v>7488</v>
      </c>
      <c r="R28" s="41">
        <v>19050</v>
      </c>
      <c r="S28" s="42">
        <v>7912.7967923562528</v>
      </c>
      <c r="T28" s="42">
        <v>8717</v>
      </c>
      <c r="V28">
        <v>19256</v>
      </c>
      <c r="W28" t="str">
        <f>+VLOOKUP(V28,Consolidado!$B$2:$M$43,3,FALSE)</f>
        <v>1 Centro</v>
      </c>
      <c r="X28" s="27">
        <v>16809.453083349603</v>
      </c>
      <c r="Y28" s="27">
        <v>16809.453083349603</v>
      </c>
      <c r="Z28" s="26">
        <f t="shared" si="0"/>
        <v>5.8847693572331862E-2</v>
      </c>
      <c r="AA28" s="26">
        <f t="shared" si="1"/>
        <v>5.8847693572331862E-2</v>
      </c>
      <c r="AB28" s="26">
        <f t="shared" si="3"/>
        <v>0.19627696164404557</v>
      </c>
      <c r="AC28" s="26">
        <f t="shared" si="4"/>
        <v>0.19627696164404557</v>
      </c>
      <c r="AD28" s="26">
        <v>0.83594277452714649</v>
      </c>
      <c r="AE28" s="26">
        <f t="shared" si="5"/>
        <v>3.4630510387830687E-3</v>
      </c>
      <c r="AF28" s="26">
        <f t="shared" si="2"/>
        <v>0.13212525493959809</v>
      </c>
      <c r="AG28" s="27">
        <f t="shared" si="6"/>
        <v>31.051658317609071</v>
      </c>
      <c r="AH28" s="27">
        <f t="shared" si="7"/>
        <v>58.211993961669101</v>
      </c>
      <c r="AI28" s="27">
        <f t="shared" si="8"/>
        <v>2220.9532740327795</v>
      </c>
    </row>
    <row r="29" spans="1:37" x14ac:dyDescent="0.2">
      <c r="A29" s="1">
        <v>19573</v>
      </c>
      <c r="B29" s="30" t="s">
        <v>14</v>
      </c>
      <c r="H29" s="41" t="s">
        <v>26</v>
      </c>
      <c r="I29" s="42"/>
      <c r="J29" s="42"/>
      <c r="K29" s="42"/>
      <c r="L29" s="42"/>
      <c r="M29" s="42">
        <v>6722</v>
      </c>
      <c r="N29" s="42"/>
      <c r="O29" s="42"/>
      <c r="P29" s="42">
        <v>6722</v>
      </c>
      <c r="R29" s="41">
        <v>19075</v>
      </c>
      <c r="S29" s="42">
        <v>6283.4747056951956</v>
      </c>
      <c r="T29" s="42">
        <v>8193</v>
      </c>
      <c r="V29">
        <v>19473</v>
      </c>
      <c r="W29" t="str">
        <f>+VLOOKUP(V29,Consolidado!$B$2:$M$43,3,FALSE)</f>
        <v>1 Centro</v>
      </c>
      <c r="X29" s="27">
        <v>10390.480063795854</v>
      </c>
      <c r="Y29" s="27">
        <v>10390.480063795854</v>
      </c>
      <c r="Z29" s="26">
        <f t="shared" si="0"/>
        <v>3.6375709776622758E-2</v>
      </c>
      <c r="AA29" s="26">
        <f t="shared" si="1"/>
        <v>3.6375709776622758E-2</v>
      </c>
      <c r="AB29" s="26">
        <f t="shared" si="3"/>
        <v>0.12132529516769307</v>
      </c>
      <c r="AC29" s="26">
        <f t="shared" si="4"/>
        <v>0.12132529516769307</v>
      </c>
      <c r="AD29" s="26">
        <v>0.81646577484364147</v>
      </c>
      <c r="AE29" s="26">
        <f t="shared" si="5"/>
        <v>1.3231922617530885E-3</v>
      </c>
      <c r="AF29" s="26">
        <f t="shared" si="2"/>
        <v>5.8169167417152119E-2</v>
      </c>
      <c r="AG29" s="27">
        <f t="shared" si="6"/>
        <v>83.206892422391263</v>
      </c>
      <c r="AH29" s="27">
        <f t="shared" si="7"/>
        <v>13.748602816314412</v>
      </c>
      <c r="AI29" s="27">
        <f t="shared" si="8"/>
        <v>604.40557437552252</v>
      </c>
    </row>
    <row r="30" spans="1:37" x14ac:dyDescent="0.2">
      <c r="A30" s="1">
        <v>19585</v>
      </c>
      <c r="B30" s="30" t="s">
        <v>5</v>
      </c>
      <c r="H30" s="41" t="s">
        <v>43</v>
      </c>
      <c r="I30" s="42"/>
      <c r="J30" s="42"/>
      <c r="K30" s="42"/>
      <c r="L30" s="42"/>
      <c r="M30" s="42">
        <v>12670</v>
      </c>
      <c r="N30" s="42"/>
      <c r="O30" s="42"/>
      <c r="P30" s="42">
        <v>12670</v>
      </c>
      <c r="R30" s="41">
        <v>19100</v>
      </c>
      <c r="S30" s="42">
        <v>13232.094768075573</v>
      </c>
      <c r="T30" s="42">
        <v>15456</v>
      </c>
      <c r="V30">
        <v>19548</v>
      </c>
      <c r="W30" t="str">
        <f>+VLOOKUP(V30,Consolidado!$B$2:$M$43,3,FALSE)</f>
        <v>1 Centro</v>
      </c>
      <c r="X30" s="27">
        <v>8016.2046558933216</v>
      </c>
      <c r="Y30" s="27">
        <v>8016.2046558933216</v>
      </c>
      <c r="Z30" s="26">
        <f t="shared" si="0"/>
        <v>2.8063682551955342E-2</v>
      </c>
      <c r="AA30" s="26">
        <f t="shared" si="1"/>
        <v>2.8063682551955342E-2</v>
      </c>
      <c r="AB30" s="26">
        <f t="shared" si="3"/>
        <v>9.3601873063562144E-2</v>
      </c>
      <c r="AC30" s="26">
        <f t="shared" si="4"/>
        <v>9.3601873063562144E-2</v>
      </c>
      <c r="AD30" s="26">
        <v>0.91945696552702505</v>
      </c>
      <c r="AE30" s="26">
        <f t="shared" si="5"/>
        <v>7.8757027837692267E-4</v>
      </c>
      <c r="AF30" s="26">
        <f t="shared" si="2"/>
        <v>3.6760914753318864E-2</v>
      </c>
      <c r="AG30" s="27">
        <f t="shared" si="6"/>
        <v>124.13650498139921</v>
      </c>
      <c r="AH30" s="27">
        <f t="shared" si="7"/>
        <v>6.3133245323682869</v>
      </c>
      <c r="AI30" s="27">
        <f t="shared" si="8"/>
        <v>294.6830160004522</v>
      </c>
    </row>
    <row r="31" spans="1:37" x14ac:dyDescent="0.2">
      <c r="A31" s="1">
        <v>19622</v>
      </c>
      <c r="B31" s="30" t="s">
        <v>37</v>
      </c>
      <c r="H31" s="41" t="s">
        <v>9</v>
      </c>
      <c r="I31" s="42"/>
      <c r="J31" s="42">
        <v>8398</v>
      </c>
      <c r="K31" s="42"/>
      <c r="L31" s="42"/>
      <c r="M31" s="42"/>
      <c r="N31" s="42"/>
      <c r="O31" s="42"/>
      <c r="P31" s="42">
        <v>8398</v>
      </c>
      <c r="R31" s="41">
        <v>19110</v>
      </c>
      <c r="S31" s="42">
        <v>9208.9261036468324</v>
      </c>
      <c r="T31" s="42">
        <v>9461</v>
      </c>
      <c r="V31">
        <v>19585</v>
      </c>
      <c r="W31" t="str">
        <f>+VLOOKUP(V31,Consolidado!$B$2:$M$43,3,FALSE)</f>
        <v>1 Centro</v>
      </c>
      <c r="X31" s="27">
        <v>3676.6615088282501</v>
      </c>
      <c r="Y31" s="27">
        <v>3676.6615088282501</v>
      </c>
      <c r="Z31" s="26">
        <f t="shared" si="0"/>
        <v>1.2871510379777195E-2</v>
      </c>
      <c r="AA31" s="26">
        <f t="shared" si="1"/>
        <v>1.2871510379777195E-2</v>
      </c>
      <c r="AB31" s="26">
        <f t="shared" si="3"/>
        <v>4.2930840543600829E-2</v>
      </c>
      <c r="AC31" s="26">
        <f t="shared" si="4"/>
        <v>4.2930840543600829E-2</v>
      </c>
      <c r="AD31" s="26">
        <v>0.84319525801952588</v>
      </c>
      <c r="AE31" s="26">
        <f t="shared" si="5"/>
        <v>1.6567577945671207E-4</v>
      </c>
      <c r="AF31" s="26">
        <f t="shared" si="2"/>
        <v>8.0282690310456463E-3</v>
      </c>
      <c r="AG31" s="27">
        <f t="shared" si="6"/>
        <v>643.47704872193208</v>
      </c>
      <c r="AH31" s="27">
        <f t="shared" si="7"/>
        <v>0.60913376127361141</v>
      </c>
      <c r="AI31" s="27">
        <f t="shared" si="8"/>
        <v>29.517227728963398</v>
      </c>
    </row>
    <row r="32" spans="1:37" x14ac:dyDescent="0.2">
      <c r="A32" s="1">
        <v>19693</v>
      </c>
      <c r="B32" s="30" t="s">
        <v>39</v>
      </c>
      <c r="H32" s="41" t="s">
        <v>1</v>
      </c>
      <c r="I32" s="42">
        <v>9176</v>
      </c>
      <c r="J32" s="42"/>
      <c r="K32" s="42"/>
      <c r="L32" s="42"/>
      <c r="M32" s="42"/>
      <c r="N32" s="42"/>
      <c r="O32" s="42"/>
      <c r="P32" s="42">
        <v>9176</v>
      </c>
      <c r="R32" s="41">
        <v>19130</v>
      </c>
      <c r="S32" s="42">
        <v>11642.716768813423</v>
      </c>
      <c r="T32" s="42">
        <v>12216</v>
      </c>
      <c r="V32">
        <v>19743</v>
      </c>
      <c r="W32" t="str">
        <f>+VLOOKUP(V32,Consolidado!$B$2:$M$43,3,FALSE)</f>
        <v>1 Centro</v>
      </c>
      <c r="X32" s="27">
        <v>7959.7212970010651</v>
      </c>
      <c r="Y32" s="27">
        <v>7959.7212970010651</v>
      </c>
      <c r="Z32" s="26">
        <f t="shared" si="0"/>
        <v>2.7865941710564137E-2</v>
      </c>
      <c r="AA32" s="26">
        <f t="shared" si="1"/>
        <v>2.7865941710564137E-2</v>
      </c>
      <c r="AB32" s="26">
        <f t="shared" si="3"/>
        <v>9.2942340477234056E-2</v>
      </c>
      <c r="AC32" s="26">
        <f t="shared" si="4"/>
        <v>9.2942340477234056E-2</v>
      </c>
      <c r="AD32" s="26">
        <v>0.80585762550559092</v>
      </c>
      <c r="AE32" s="26">
        <f t="shared" si="5"/>
        <v>7.7651070741655817E-4</v>
      </c>
      <c r="AF32" s="26">
        <f t="shared" si="2"/>
        <v>3.7932463424940922E-2</v>
      </c>
      <c r="AG32" s="27">
        <f t="shared" si="6"/>
        <v>143.65292415394094</v>
      </c>
      <c r="AH32" s="27">
        <f t="shared" si="7"/>
        <v>6.1808088151729406</v>
      </c>
      <c r="AI32" s="27">
        <f t="shared" si="8"/>
        <v>301.93183697121623</v>
      </c>
    </row>
    <row r="33" spans="1:35" x14ac:dyDescent="0.2">
      <c r="A33" s="1">
        <v>19698</v>
      </c>
      <c r="B33" s="30" t="s">
        <v>47</v>
      </c>
      <c r="H33" s="41" t="s">
        <v>16</v>
      </c>
      <c r="I33" s="42"/>
      <c r="J33" s="42">
        <v>8201</v>
      </c>
      <c r="K33" s="42"/>
      <c r="L33" s="42"/>
      <c r="M33" s="42"/>
      <c r="N33" s="42"/>
      <c r="O33" s="42"/>
      <c r="P33" s="42">
        <v>8201</v>
      </c>
      <c r="R33" s="41">
        <v>19137</v>
      </c>
      <c r="S33" s="42">
        <v>10205.392698295034</v>
      </c>
      <c r="T33" s="42">
        <v>10382</v>
      </c>
      <c r="V33">
        <v>19807</v>
      </c>
      <c r="W33" t="str">
        <f>+VLOOKUP(V33,Consolidado!$B$2:$M$43,3,FALSE)</f>
        <v>1 Centro</v>
      </c>
      <c r="X33" s="27">
        <v>7327.8959697853415</v>
      </c>
      <c r="Y33" s="27">
        <v>7327.8959697853415</v>
      </c>
      <c r="Z33" s="26">
        <f t="shared" si="0"/>
        <v>2.5654003995347282E-2</v>
      </c>
      <c r="AA33" s="26">
        <f t="shared" si="1"/>
        <v>2.5654003995347282E-2</v>
      </c>
      <c r="AB33" s="26">
        <f t="shared" si="3"/>
        <v>8.5564780071149427E-2</v>
      </c>
      <c r="AC33" s="26">
        <f t="shared" si="4"/>
        <v>8.5564780071149427E-2</v>
      </c>
      <c r="AD33" s="26">
        <v>0.9541280149607736</v>
      </c>
      <c r="AE33" s="26">
        <f t="shared" si="5"/>
        <v>6.5812792099329432E-4</v>
      </c>
      <c r="AF33" s="26">
        <f t="shared" si="2"/>
        <v>3.3417068956744317E-2</v>
      </c>
      <c r="AG33" s="27">
        <f t="shared" si="6"/>
        <v>143.15393008555262</v>
      </c>
      <c r="AH33" s="27">
        <f t="shared" si="7"/>
        <v>4.8226929398499667</v>
      </c>
      <c r="AI33" s="27">
        <f t="shared" si="8"/>
        <v>244.87680493016552</v>
      </c>
    </row>
    <row r="34" spans="1:35" x14ac:dyDescent="0.2">
      <c r="A34" s="1">
        <v>19701</v>
      </c>
      <c r="B34" s="30" t="s">
        <v>40</v>
      </c>
      <c r="H34" s="41" t="s">
        <v>10</v>
      </c>
      <c r="I34" s="42"/>
      <c r="J34" s="42">
        <v>7274</v>
      </c>
      <c r="K34" s="42"/>
      <c r="L34" s="42"/>
      <c r="M34" s="42"/>
      <c r="N34" s="42"/>
      <c r="O34" s="42"/>
      <c r="P34" s="42">
        <v>7274</v>
      </c>
      <c r="R34" s="41">
        <v>19142</v>
      </c>
      <c r="S34" s="42">
        <v>6459.4098617585605</v>
      </c>
      <c r="T34" s="42">
        <v>8559</v>
      </c>
      <c r="V34">
        <v>19110</v>
      </c>
      <c r="W34" t="str">
        <f>+VLOOKUP(V34,Consolidado!$B$2:$M$43,3,FALSE)</f>
        <v>2 Norte</v>
      </c>
      <c r="X34" s="27">
        <v>9208.9261036468324</v>
      </c>
      <c r="Y34" s="27">
        <v>9208.9261036468324</v>
      </c>
      <c r="Z34" s="26">
        <f t="shared" si="0"/>
        <v>3.2239244119991808E-2</v>
      </c>
      <c r="AA34" s="26">
        <f t="shared" si="1"/>
        <v>3.2239244119991808E-2</v>
      </c>
      <c r="AB34" s="26">
        <f>+X34/SUM($X$34:$X$46)</f>
        <v>0.11349565206526953</v>
      </c>
      <c r="AC34" s="26">
        <f>+Y34/SUM($Y$34:$Y$46)</f>
        <v>0.11349565206526953</v>
      </c>
      <c r="AD34" s="26">
        <v>0.84350099138631551</v>
      </c>
      <c r="AE34" s="26">
        <f t="shared" si="5"/>
        <v>1.0393688614284264E-3</v>
      </c>
      <c r="AF34" s="26">
        <f t="shared" si="2"/>
        <v>5.4599494103884642E-2</v>
      </c>
      <c r="AG34" s="27">
        <f t="shared" si="6"/>
        <v>92.035622468526952</v>
      </c>
      <c r="AH34" s="27">
        <f t="shared" si="7"/>
        <v>9.5714710393259228</v>
      </c>
      <c r="AI34" s="27">
        <f t="shared" si="8"/>
        <v>502.80270649917458</v>
      </c>
    </row>
    <row r="35" spans="1:35" x14ac:dyDescent="0.2">
      <c r="A35" s="1">
        <v>19743</v>
      </c>
      <c r="B35" s="30" t="s">
        <v>6</v>
      </c>
      <c r="H35" s="41" t="s">
        <v>11</v>
      </c>
      <c r="I35" s="42"/>
      <c r="J35" s="42">
        <v>7501</v>
      </c>
      <c r="K35" s="42"/>
      <c r="L35" s="42"/>
      <c r="M35" s="42"/>
      <c r="N35" s="42"/>
      <c r="O35" s="42"/>
      <c r="P35" s="42">
        <v>7501</v>
      </c>
      <c r="R35" s="41">
        <v>19212</v>
      </c>
      <c r="S35" s="42">
        <v>4368.5458649040784</v>
      </c>
      <c r="T35" s="42">
        <v>9098</v>
      </c>
      <c r="V35">
        <v>19137</v>
      </c>
      <c r="W35" t="str">
        <f>+VLOOKUP(V35,Consolidado!$B$2:$M$43,3,FALSE)</f>
        <v>2 Norte</v>
      </c>
      <c r="X35" s="27">
        <v>10205.392698295034</v>
      </c>
      <c r="Y35" s="27">
        <v>10205.392698295034</v>
      </c>
      <c r="Z35" s="26">
        <f t="shared" si="0"/>
        <v>3.572774315242061E-2</v>
      </c>
      <c r="AA35" s="26">
        <f t="shared" si="1"/>
        <v>3.572774315242061E-2</v>
      </c>
      <c r="AB35" s="26">
        <f t="shared" ref="AB35:AB46" si="9">+X35/SUM($X$34:$X$46)</f>
        <v>0.12577663082956536</v>
      </c>
      <c r="AC35" s="26">
        <f t="shared" ref="AC35:AC46" si="10">+Y35/SUM($Y$34:$Y$46)</f>
        <v>0.12577663082956536</v>
      </c>
      <c r="AD35" s="26">
        <v>0.82325752596989599</v>
      </c>
      <c r="AE35" s="26">
        <f t="shared" si="5"/>
        <v>1.2764716307653379E-3</v>
      </c>
      <c r="AF35" s="26">
        <f t="shared" si="2"/>
        <v>7.0927434919674751E-2</v>
      </c>
      <c r="AG35" s="27">
        <f t="shared" si="6"/>
        <v>76.782876179032925</v>
      </c>
      <c r="AH35" s="27">
        <f t="shared" si="7"/>
        <v>13.026894260193334</v>
      </c>
      <c r="AI35" s="27">
        <f t="shared" si="8"/>
        <v>723.84232643804489</v>
      </c>
    </row>
    <row r="36" spans="1:35" x14ac:dyDescent="0.2">
      <c r="A36" s="1">
        <v>19760</v>
      </c>
      <c r="B36" s="30" t="s">
        <v>33</v>
      </c>
      <c r="H36" s="41" t="s">
        <v>2</v>
      </c>
      <c r="I36" s="42">
        <v>12629</v>
      </c>
      <c r="J36" s="42"/>
      <c r="K36" s="42"/>
      <c r="L36" s="42"/>
      <c r="M36" s="42"/>
      <c r="N36" s="42"/>
      <c r="O36" s="42"/>
      <c r="P36" s="42">
        <v>12629</v>
      </c>
      <c r="R36" s="41">
        <v>19256</v>
      </c>
      <c r="S36" s="42">
        <v>15761.321215217733</v>
      </c>
      <c r="T36" s="42">
        <v>16847</v>
      </c>
      <c r="V36">
        <v>19142</v>
      </c>
      <c r="W36" t="str">
        <f>+VLOOKUP(V36,Consolidado!$B$2:$M$43,3,FALSE)</f>
        <v>2 Norte</v>
      </c>
      <c r="X36" s="27">
        <v>6459.4098617585605</v>
      </c>
      <c r="Y36" s="27">
        <v>6459.4098617585605</v>
      </c>
      <c r="Z36" s="26">
        <f t="shared" si="0"/>
        <v>2.2613547883921985E-2</v>
      </c>
      <c r="AA36" s="26">
        <f t="shared" si="1"/>
        <v>2.2613547883921985E-2</v>
      </c>
      <c r="AB36" s="26">
        <f t="shared" si="9"/>
        <v>7.960916679815673E-2</v>
      </c>
      <c r="AC36" s="26">
        <f t="shared" si="10"/>
        <v>7.960916679815673E-2</v>
      </c>
      <c r="AD36" s="26">
        <v>0.88711957295373645</v>
      </c>
      <c r="AE36" s="26">
        <f t="shared" si="5"/>
        <v>5.1137254789843252E-4</v>
      </c>
      <c r="AF36" s="26">
        <f t="shared" si="2"/>
        <v>3.0583758870683781E-2</v>
      </c>
      <c r="AG36" s="27">
        <f t="shared" si="6"/>
        <v>177.86548523605288</v>
      </c>
      <c r="AH36" s="27">
        <f t="shared" si="7"/>
        <v>3.303164878927737</v>
      </c>
      <c r="AI36" s="27">
        <f t="shared" si="8"/>
        <v>197.55303365894068</v>
      </c>
    </row>
    <row r="37" spans="1:35" x14ac:dyDescent="0.2">
      <c r="A37" s="1">
        <v>19780</v>
      </c>
      <c r="B37" s="30" t="s">
        <v>48</v>
      </c>
      <c r="H37" s="41" t="s">
        <v>29</v>
      </c>
      <c r="I37" s="42"/>
      <c r="J37" s="42"/>
      <c r="K37" s="42"/>
      <c r="L37" s="42"/>
      <c r="M37" s="42">
        <v>1432</v>
      </c>
      <c r="N37" s="42"/>
      <c r="O37" s="42"/>
      <c r="P37" s="42">
        <v>1432</v>
      </c>
      <c r="R37" s="41">
        <v>19290</v>
      </c>
      <c r="S37" s="42">
        <v>1558.0882352941176</v>
      </c>
      <c r="T37" s="42">
        <v>1928</v>
      </c>
      <c r="V37">
        <v>19212</v>
      </c>
      <c r="W37" t="str">
        <f>+VLOOKUP(V37,Consolidado!$B$2:$M$43,3,FALSE)</f>
        <v>2 Norte</v>
      </c>
      <c r="X37" s="27">
        <v>4368.5458649040784</v>
      </c>
      <c r="Y37" s="27">
        <v>4368.5458649040784</v>
      </c>
      <c r="Z37" s="26">
        <f t="shared" si="0"/>
        <v>1.5293706888607754E-2</v>
      </c>
      <c r="AA37" s="26">
        <f t="shared" si="1"/>
        <v>1.5293706888607754E-2</v>
      </c>
      <c r="AB37" s="26">
        <f t="shared" si="9"/>
        <v>5.3840258455106808E-2</v>
      </c>
      <c r="AC37" s="26">
        <f t="shared" si="10"/>
        <v>5.3840258455106808E-2</v>
      </c>
      <c r="AD37" s="26">
        <v>0.88938051509394145</v>
      </c>
      <c r="AE37" s="26">
        <f t="shared" si="5"/>
        <v>2.3389747039464826E-4</v>
      </c>
      <c r="AF37" s="26">
        <f t="shared" si="2"/>
        <v>1.4430078193992014E-2</v>
      </c>
      <c r="AG37" s="27">
        <f t="shared" si="6"/>
        <v>387.88065244863299</v>
      </c>
      <c r="AH37" s="27">
        <f t="shared" si="7"/>
        <v>1.0217918271040647</v>
      </c>
      <c r="AI37" s="27">
        <f t="shared" si="8"/>
        <v>63.038458424606326</v>
      </c>
    </row>
    <row r="38" spans="1:35" x14ac:dyDescent="0.2">
      <c r="A38" s="1">
        <v>19785</v>
      </c>
      <c r="B38" s="30" t="s">
        <v>31</v>
      </c>
      <c r="H38" s="41" t="s">
        <v>44</v>
      </c>
      <c r="I38" s="42"/>
      <c r="J38" s="42">
        <v>5452</v>
      </c>
      <c r="K38" s="42"/>
      <c r="L38" s="42"/>
      <c r="M38" s="42"/>
      <c r="N38" s="42"/>
      <c r="O38" s="42"/>
      <c r="P38" s="42">
        <v>5452</v>
      </c>
      <c r="R38" s="41">
        <v>19300</v>
      </c>
      <c r="S38" s="42">
        <v>4266.8690774012584</v>
      </c>
      <c r="T38" s="42">
        <v>6135</v>
      </c>
      <c r="V38">
        <v>19300</v>
      </c>
      <c r="W38" t="str">
        <f>+VLOOKUP(V38,Consolidado!$B$2:$M$43,3,FALSE)</f>
        <v>2 Norte</v>
      </c>
      <c r="X38" s="27">
        <v>4266.8690774012584</v>
      </c>
      <c r="Y38" s="27">
        <v>4266.8690774012584</v>
      </c>
      <c r="Z38" s="26">
        <f t="shared" si="0"/>
        <v>1.4937749773006421E-2</v>
      </c>
      <c r="AA38" s="26">
        <f t="shared" si="1"/>
        <v>1.4937749773006421E-2</v>
      </c>
      <c r="AB38" s="26">
        <f t="shared" si="9"/>
        <v>5.258714021225714E-2</v>
      </c>
      <c r="AC38" s="26">
        <f t="shared" si="10"/>
        <v>5.258714021225714E-2</v>
      </c>
      <c r="AD38" s="26">
        <v>0.97857163461538454</v>
      </c>
      <c r="AE38" s="26">
        <f t="shared" si="5"/>
        <v>2.2313636828095339E-4</v>
      </c>
      <c r="AF38" s="26">
        <f t="shared" si="2"/>
        <v>1.3967737958919231E-2</v>
      </c>
      <c r="AG38" s="27">
        <f t="shared" si="6"/>
        <v>369.52878125747134</v>
      </c>
      <c r="AH38" s="27">
        <f t="shared" si="7"/>
        <v>0.95209366986161903</v>
      </c>
      <c r="AI38" s="27">
        <f t="shared" si="8"/>
        <v>59.598509178156235</v>
      </c>
    </row>
    <row r="39" spans="1:35" x14ac:dyDescent="0.2">
      <c r="A39" s="1">
        <v>19807</v>
      </c>
      <c r="B39" s="30" t="s">
        <v>49</v>
      </c>
      <c r="H39" s="41" t="s">
        <v>23</v>
      </c>
      <c r="I39" s="42"/>
      <c r="J39" s="42"/>
      <c r="K39" s="42"/>
      <c r="L39" s="42">
        <v>6157</v>
      </c>
      <c r="M39" s="42"/>
      <c r="N39" s="42"/>
      <c r="O39" s="42"/>
      <c r="P39" s="42">
        <v>6157</v>
      </c>
      <c r="R39" s="41">
        <v>19318</v>
      </c>
      <c r="S39" s="42">
        <v>2910.8493861444026</v>
      </c>
      <c r="T39" s="42">
        <v>7046</v>
      </c>
      <c r="V39">
        <v>19364</v>
      </c>
      <c r="W39" t="str">
        <f>+VLOOKUP(V39,Consolidado!$B$2:$M$43,3,FALSE)</f>
        <v>2 Norte</v>
      </c>
      <c r="X39" s="27">
        <v>3670.2275178728205</v>
      </c>
      <c r="Y39" s="27">
        <v>3670.2275178728205</v>
      </c>
      <c r="Z39" s="26">
        <f t="shared" si="0"/>
        <v>1.2848985820155007E-2</v>
      </c>
      <c r="AA39" s="26">
        <f t="shared" si="1"/>
        <v>1.2848985820155007E-2</v>
      </c>
      <c r="AB39" s="26">
        <f t="shared" si="9"/>
        <v>4.5233815613300588E-2</v>
      </c>
      <c r="AC39" s="26">
        <f t="shared" si="10"/>
        <v>4.5233815613300588E-2</v>
      </c>
      <c r="AD39" s="26">
        <v>0.75041156267887799</v>
      </c>
      <c r="AE39" s="26">
        <f t="shared" si="5"/>
        <v>1.6509643660654442E-4</v>
      </c>
      <c r="AF39" s="26">
        <f t="shared" si="2"/>
        <v>1.0480989679994484E-2</v>
      </c>
      <c r="AG39" s="27">
        <f t="shared" si="6"/>
        <v>651.28943912975467</v>
      </c>
      <c r="AH39" s="27">
        <f t="shared" si="7"/>
        <v>0.605941484736085</v>
      </c>
      <c r="AI39" s="27">
        <f t="shared" si="8"/>
        <v>38.467616738056805</v>
      </c>
    </row>
    <row r="40" spans="1:35" x14ac:dyDescent="0.2">
      <c r="A40" s="1">
        <v>19809</v>
      </c>
      <c r="B40" s="30" t="s">
        <v>22</v>
      </c>
      <c r="H40" s="41" t="s">
        <v>18</v>
      </c>
      <c r="I40" s="42"/>
      <c r="J40" s="42"/>
      <c r="K40" s="42">
        <v>6794</v>
      </c>
      <c r="L40" s="42"/>
      <c r="M40" s="42"/>
      <c r="N40" s="42"/>
      <c r="O40" s="42"/>
      <c r="P40" s="42">
        <v>6794</v>
      </c>
      <c r="R40" s="41">
        <v>19355</v>
      </c>
      <c r="S40" s="42">
        <v>7559.5400964781829</v>
      </c>
      <c r="T40" s="42">
        <v>7890</v>
      </c>
      <c r="V40">
        <v>19455</v>
      </c>
      <c r="W40" t="str">
        <f>+VLOOKUP(V40,Consolidado!$B$2:$M$43,3,FALSE)</f>
        <v>2 Norte</v>
      </c>
      <c r="X40" s="27">
        <v>4254.4623976172743</v>
      </c>
      <c r="Y40" s="27">
        <v>4254.4623976172743</v>
      </c>
      <c r="Z40" s="26">
        <f t="shared" si="0"/>
        <v>1.4894315612087698E-2</v>
      </c>
      <c r="AA40" s="26">
        <f t="shared" si="1"/>
        <v>1.4894315612087698E-2</v>
      </c>
      <c r="AB40" s="26">
        <f t="shared" si="9"/>
        <v>5.2434233760820785E-2</v>
      </c>
      <c r="AC40" s="26">
        <f t="shared" si="10"/>
        <v>5.2434233760820785E-2</v>
      </c>
      <c r="AD40" s="26">
        <v>0.92237318982387495</v>
      </c>
      <c r="AE40" s="26">
        <f t="shared" si="5"/>
        <v>2.2184063755247935E-4</v>
      </c>
      <c r="AF40" s="26">
        <f t="shared" si="2"/>
        <v>1.4232511920654521E-2</v>
      </c>
      <c r="AG40" s="27">
        <f t="shared" si="6"/>
        <v>394.33332176582269</v>
      </c>
      <c r="AH40" s="27">
        <f t="shared" si="7"/>
        <v>0.94381265073046605</v>
      </c>
      <c r="AI40" s="27">
        <f t="shared" si="8"/>
        <v>60.551686790064274</v>
      </c>
    </row>
    <row r="41" spans="1:35" x14ac:dyDescent="0.2">
      <c r="A41" s="1">
        <v>19821</v>
      </c>
      <c r="B41" s="30" t="s">
        <v>15</v>
      </c>
      <c r="H41" s="41" t="s">
        <v>45</v>
      </c>
      <c r="I41" s="42"/>
      <c r="J41" s="42">
        <v>3507</v>
      </c>
      <c r="K41" s="42"/>
      <c r="L41" s="42"/>
      <c r="M41" s="42"/>
      <c r="N41" s="42"/>
      <c r="O41" s="42"/>
      <c r="P41" s="42">
        <v>3507</v>
      </c>
      <c r="R41" s="41">
        <v>19364</v>
      </c>
      <c r="S41" s="42">
        <v>3670.2275178728205</v>
      </c>
      <c r="T41" s="42">
        <v>3993</v>
      </c>
      <c r="V41">
        <v>19513</v>
      </c>
      <c r="W41" t="str">
        <f>+VLOOKUP(V41,Consolidado!$B$2:$M$43,3,FALSE)</f>
        <v>2 Norte</v>
      </c>
      <c r="X41" s="27">
        <v>1720.5532148745192</v>
      </c>
      <c r="Y41" s="27">
        <v>1720.5532148745192</v>
      </c>
      <c r="Z41" s="26">
        <f t="shared" si="0"/>
        <v>6.0234314502545412E-3</v>
      </c>
      <c r="AA41" s="26">
        <f t="shared" si="1"/>
        <v>6.0234314502545412E-3</v>
      </c>
      <c r="AB41" s="26">
        <f t="shared" si="9"/>
        <v>2.1205003367097085E-2</v>
      </c>
      <c r="AC41" s="26">
        <f t="shared" si="10"/>
        <v>2.1205003367097085E-2</v>
      </c>
      <c r="AD41" s="26">
        <v>0.90959444444444448</v>
      </c>
      <c r="AE41" s="26">
        <f t="shared" si="5"/>
        <v>3.6281726435915525E-5</v>
      </c>
      <c r="AF41" s="26">
        <f t="shared" si="2"/>
        <v>2.361314888958241E-3</v>
      </c>
      <c r="AG41" s="27">
        <f t="shared" si="6"/>
        <v>2444.9811170487169</v>
      </c>
      <c r="AH41" s="27">
        <f t="shared" si="7"/>
        <v>6.2424641060512286E-2</v>
      </c>
      <c r="AI41" s="27">
        <f t="shared" si="8"/>
        <v>4.0627679235281695</v>
      </c>
    </row>
    <row r="42" spans="1:35" x14ac:dyDescent="0.2">
      <c r="A42" s="1">
        <v>19824</v>
      </c>
      <c r="B42" s="30" t="s">
        <v>50</v>
      </c>
      <c r="H42" s="41" t="s">
        <v>36</v>
      </c>
      <c r="I42" s="42"/>
      <c r="J42" s="42"/>
      <c r="K42" s="42"/>
      <c r="L42" s="42"/>
      <c r="M42" s="42"/>
      <c r="N42" s="42">
        <v>3078</v>
      </c>
      <c r="O42" s="42"/>
      <c r="P42" s="42">
        <v>3078</v>
      </c>
      <c r="R42" s="41">
        <v>19392</v>
      </c>
      <c r="S42" s="42">
        <v>2821.4278032933798</v>
      </c>
      <c r="T42" s="42">
        <v>3603</v>
      </c>
      <c r="V42">
        <v>19573</v>
      </c>
      <c r="W42" t="str">
        <f>+VLOOKUP(V42,Consolidado!$B$2:$M$43,3,FALSE)</f>
        <v>2 Norte</v>
      </c>
      <c r="X42" s="27">
        <v>2143.6231071228267</v>
      </c>
      <c r="Y42" s="27">
        <v>2143.6231071228267</v>
      </c>
      <c r="Z42" s="26">
        <f t="shared" si="0"/>
        <v>7.5045437300686278E-3</v>
      </c>
      <c r="AA42" s="26">
        <f t="shared" si="1"/>
        <v>7.5045437300686278E-3</v>
      </c>
      <c r="AB42" s="26">
        <f t="shared" si="9"/>
        <v>2.64191393857247E-2</v>
      </c>
      <c r="AC42" s="26">
        <f t="shared" si="10"/>
        <v>2.64191393857247E-2</v>
      </c>
      <c r="AD42" s="26">
        <v>0.99704999999999999</v>
      </c>
      <c r="AE42" s="26">
        <f t="shared" si="5"/>
        <v>5.6318176596512355E-5</v>
      </c>
      <c r="AF42" s="26">
        <f t="shared" si="2"/>
        <v>3.6740178763337958E-3</v>
      </c>
      <c r="AG42" s="27">
        <f t="shared" si="6"/>
        <v>1436.963476638268</v>
      </c>
      <c r="AH42" s="27">
        <f t="shared" si="7"/>
        <v>0.12072494470330787</v>
      </c>
      <c r="AI42" s="27">
        <f t="shared" si="8"/>
        <v>7.875709615691461</v>
      </c>
    </row>
    <row r="43" spans="1:35" x14ac:dyDescent="0.2">
      <c r="A43" s="1">
        <v>19845</v>
      </c>
      <c r="B43" s="30" t="s">
        <v>51</v>
      </c>
      <c r="H43" s="41" t="s">
        <v>34</v>
      </c>
      <c r="I43" s="42"/>
      <c r="J43" s="42"/>
      <c r="K43" s="42"/>
      <c r="L43" s="42"/>
      <c r="M43" s="42"/>
      <c r="N43" s="42">
        <v>5417</v>
      </c>
      <c r="O43" s="42"/>
      <c r="P43" s="42">
        <v>5417</v>
      </c>
      <c r="R43" s="41">
        <v>19397</v>
      </c>
      <c r="S43" s="42">
        <v>7298.2931247602401</v>
      </c>
      <c r="T43" s="42">
        <v>7780</v>
      </c>
      <c r="V43">
        <v>19698</v>
      </c>
      <c r="W43" t="str">
        <f>+VLOOKUP(V43,Consolidado!$B$2:$M$43,3,FALSE)</f>
        <v>2 Norte</v>
      </c>
      <c r="X43" s="27">
        <v>16789.556521589719</v>
      </c>
      <c r="Y43" s="27">
        <v>16789.556521589719</v>
      </c>
      <c r="Z43" s="26">
        <f t="shared" si="0"/>
        <v>5.8778038315627029E-2</v>
      </c>
      <c r="AA43" s="26">
        <f t="shared" si="1"/>
        <v>5.8778038315627029E-2</v>
      </c>
      <c r="AB43" s="26">
        <f t="shared" si="9"/>
        <v>0.20692333110914082</v>
      </c>
      <c r="AC43" s="26">
        <f t="shared" si="10"/>
        <v>0.20692333110914082</v>
      </c>
      <c r="AD43" s="26">
        <v>0.92563371517522153</v>
      </c>
      <c r="AE43" s="26">
        <f t="shared" si="5"/>
        <v>3.4548577882333193E-3</v>
      </c>
      <c r="AF43" s="26">
        <f t="shared" si="2"/>
        <v>0.22621500005489445</v>
      </c>
      <c r="AG43" s="27">
        <f t="shared" si="6"/>
        <v>25.231432771197891</v>
      </c>
      <c r="AH43" s="27">
        <f t="shared" si="7"/>
        <v>58.005530109597757</v>
      </c>
      <c r="AI43" s="27">
        <f t="shared" si="8"/>
        <v>3798.0495294530715</v>
      </c>
    </row>
    <row r="44" spans="1:35" x14ac:dyDescent="0.2">
      <c r="H44" s="41" t="s">
        <v>46</v>
      </c>
      <c r="I44" s="42"/>
      <c r="J44" s="42"/>
      <c r="K44" s="42"/>
      <c r="L44" s="42">
        <v>3992</v>
      </c>
      <c r="M44" s="42"/>
      <c r="N44" s="42"/>
      <c r="O44" s="42"/>
      <c r="P44" s="42">
        <v>3992</v>
      </c>
      <c r="R44" s="41">
        <v>19418</v>
      </c>
      <c r="S44" s="42">
        <v>4460.5130200538761</v>
      </c>
      <c r="T44" s="42">
        <v>4962</v>
      </c>
      <c r="V44">
        <v>19780</v>
      </c>
      <c r="W44" t="str">
        <f>+VLOOKUP(V44,Consolidado!$B$2:$M$43,3,FALSE)</f>
        <v>2 Norte</v>
      </c>
      <c r="X44" s="27">
        <v>7633.3061432377372</v>
      </c>
      <c r="Y44" s="27">
        <v>7633.3061432377372</v>
      </c>
      <c r="Z44" s="26">
        <f t="shared" si="0"/>
        <v>2.6723205010519033E-2</v>
      </c>
      <c r="AA44" s="26">
        <f t="shared" si="1"/>
        <v>2.6723205010519033E-2</v>
      </c>
      <c r="AB44" s="26">
        <f t="shared" si="9"/>
        <v>9.4076882406246259E-2</v>
      </c>
      <c r="AC44" s="26">
        <f t="shared" si="10"/>
        <v>9.4076882406246259E-2</v>
      </c>
      <c r="AD44" s="26">
        <v>0.88518596185159348</v>
      </c>
      <c r="AE44" s="26">
        <f t="shared" si="5"/>
        <v>7.1412968603422962E-4</v>
      </c>
      <c r="AF44" s="26">
        <f t="shared" si="2"/>
        <v>6.0429361313834654E-2</v>
      </c>
      <c r="AG44" s="27">
        <f t="shared" si="6"/>
        <v>127.64377748394139</v>
      </c>
      <c r="AH44" s="27">
        <f t="shared" si="7"/>
        <v>5.4511705194735214</v>
      </c>
      <c r="AI44" s="27">
        <f t="shared" si="8"/>
        <v>461.27581494882691</v>
      </c>
    </row>
    <row r="45" spans="1:35" x14ac:dyDescent="0.2">
      <c r="H45" s="41" t="s">
        <v>30</v>
      </c>
      <c r="I45" s="42"/>
      <c r="J45" s="42"/>
      <c r="K45" s="42"/>
      <c r="L45" s="42"/>
      <c r="M45" s="42">
        <v>4761</v>
      </c>
      <c r="N45" s="42"/>
      <c r="O45" s="42"/>
      <c r="P45" s="42">
        <v>4761</v>
      </c>
      <c r="R45" s="41">
        <v>19450</v>
      </c>
      <c r="S45" s="42">
        <v>5191.2234837167607</v>
      </c>
      <c r="T45" s="42">
        <v>7116</v>
      </c>
      <c r="V45">
        <v>19821</v>
      </c>
      <c r="W45" t="str">
        <f>+VLOOKUP(V45,Consolidado!$B$2:$M$43,3,FALSE)</f>
        <v>2 Norte</v>
      </c>
      <c r="X45" s="27">
        <v>8461.7339902980748</v>
      </c>
      <c r="Y45" s="27">
        <v>8461.7339902980748</v>
      </c>
      <c r="Z45" s="26">
        <f t="shared" si="0"/>
        <v>2.9623422397061082E-2</v>
      </c>
      <c r="AA45" s="26">
        <f t="shared" si="1"/>
        <v>2.9623422397061082E-2</v>
      </c>
      <c r="AB45" s="26">
        <f t="shared" si="9"/>
        <v>0.10428686320454003</v>
      </c>
      <c r="AC45" s="26">
        <f t="shared" si="10"/>
        <v>0.10428686320454003</v>
      </c>
      <c r="AD45" s="26">
        <v>0.91460095693779897</v>
      </c>
      <c r="AE45" s="26">
        <f t="shared" si="5"/>
        <v>8.7754715451470009E-4</v>
      </c>
      <c r="AF45" s="26">
        <f t="shared" si="2"/>
        <v>7.9033632443475998E-2</v>
      </c>
      <c r="AG45" s="27">
        <f t="shared" si="6"/>
        <v>100.53311496046373</v>
      </c>
      <c r="AH45" s="27">
        <f t="shared" si="7"/>
        <v>7.425570585446394</v>
      </c>
      <c r="AI45" s="27">
        <f t="shared" si="8"/>
        <v>668.76157402368551</v>
      </c>
    </row>
    <row r="46" spans="1:35" x14ac:dyDescent="0.2">
      <c r="H46" s="41" t="s">
        <v>12</v>
      </c>
      <c r="I46" s="42"/>
      <c r="J46" s="42">
        <v>9329</v>
      </c>
      <c r="K46" s="42"/>
      <c r="L46" s="42"/>
      <c r="M46" s="42"/>
      <c r="N46" s="42"/>
      <c r="O46" s="42"/>
      <c r="P46" s="42">
        <v>9329</v>
      </c>
      <c r="R46" s="41">
        <v>19455</v>
      </c>
      <c r="S46" s="42">
        <v>4254.4623976172743</v>
      </c>
      <c r="T46" s="42">
        <v>10360</v>
      </c>
      <c r="V46">
        <v>19845</v>
      </c>
      <c r="W46" t="str">
        <f>+VLOOKUP(V46,Consolidado!$B$2:$M$43,3,FALSE)</f>
        <v>2 Norte</v>
      </c>
      <c r="X46" s="27">
        <v>1956.4145658263305</v>
      </c>
      <c r="Y46" s="27">
        <v>1956.4145658263305</v>
      </c>
      <c r="Z46" s="26">
        <f t="shared" si="0"/>
        <v>6.8491511472336761E-3</v>
      </c>
      <c r="AA46" s="26">
        <f t="shared" si="1"/>
        <v>6.8491511472336761E-3</v>
      </c>
      <c r="AB46" s="26">
        <f t="shared" si="9"/>
        <v>2.4111882792774129E-2</v>
      </c>
      <c r="AC46" s="26">
        <f t="shared" si="10"/>
        <v>2.4111882792774129E-2</v>
      </c>
      <c r="AD46" s="26">
        <v>0.98649999999999993</v>
      </c>
      <c r="AE46" s="26">
        <f t="shared" si="5"/>
        <v>4.6910871437652382E-5</v>
      </c>
      <c r="AF46" s="26">
        <f t="shared" si="2"/>
        <v>4.5874485930367153E-3</v>
      </c>
      <c r="AG46" s="27">
        <f t="shared" si="6"/>
        <v>1743.5751177411018</v>
      </c>
      <c r="AH46" s="27">
        <f t="shared" si="7"/>
        <v>9.1777112176229497E-2</v>
      </c>
      <c r="AI46" s="27">
        <f t="shared" si="8"/>
        <v>8.974951247396536</v>
      </c>
    </row>
    <row r="47" spans="1:35" x14ac:dyDescent="0.2">
      <c r="H47" s="41" t="s">
        <v>3</v>
      </c>
      <c r="I47" s="42">
        <v>8256</v>
      </c>
      <c r="J47" s="42"/>
      <c r="K47" s="42"/>
      <c r="L47" s="42"/>
      <c r="M47" s="42"/>
      <c r="N47" s="42"/>
      <c r="O47" s="42"/>
      <c r="P47" s="42">
        <v>8256</v>
      </c>
      <c r="R47" s="41">
        <v>19473</v>
      </c>
      <c r="S47" s="42">
        <v>10390.480063795854</v>
      </c>
      <c r="T47" s="42">
        <v>11238</v>
      </c>
      <c r="V47">
        <v>19355</v>
      </c>
      <c r="W47" t="str">
        <f>+VLOOKUP(V47,Consolidado!$B$2:$M$43,3,FALSE)</f>
        <v>3 Oriente</v>
      </c>
      <c r="X47" s="27">
        <v>7559.5400964781829</v>
      </c>
      <c r="Y47" s="27">
        <v>7559.5400964781829</v>
      </c>
      <c r="Z47" s="26">
        <f t="shared" si="0"/>
        <v>2.646495974256035E-2</v>
      </c>
      <c r="AA47" s="26">
        <f t="shared" si="1"/>
        <v>2.646495974256035E-2</v>
      </c>
      <c r="AB47" s="26">
        <f>+X47/SUM($X$47:$X$49)</f>
        <v>0.35060077963470399</v>
      </c>
      <c r="AC47" s="26">
        <f>+Y47/SUM($Y$47:$Y$49)</f>
        <v>0.35060077963470399</v>
      </c>
      <c r="AD47" s="26">
        <v>0.81625586854460108</v>
      </c>
      <c r="AE47" s="26">
        <f t="shared" si="5"/>
        <v>7.0039409417533996E-4</v>
      </c>
      <c r="AF47" s="26">
        <f t="shared" si="2"/>
        <v>6.8807705003750538E-2</v>
      </c>
      <c r="AG47" s="27">
        <f t="shared" si="6"/>
        <v>9.9666206467989955</v>
      </c>
      <c r="AH47" s="27">
        <f t="shared" si="7"/>
        <v>5.2946572382549988</v>
      </c>
      <c r="AI47" s="27">
        <f t="shared" si="8"/>
        <v>520.15460492249474</v>
      </c>
    </row>
    <row r="48" spans="1:35" x14ac:dyDescent="0.2">
      <c r="H48" s="41" t="s">
        <v>13</v>
      </c>
      <c r="I48" s="42"/>
      <c r="J48" s="42">
        <v>2877</v>
      </c>
      <c r="K48" s="42"/>
      <c r="L48" s="42"/>
      <c r="M48" s="42"/>
      <c r="N48" s="42"/>
      <c r="O48" s="42"/>
      <c r="P48" s="42">
        <v>2877</v>
      </c>
      <c r="R48" s="41">
        <v>19513</v>
      </c>
      <c r="S48" s="42">
        <v>1720.5532148745192</v>
      </c>
      <c r="T48" s="42">
        <v>3336</v>
      </c>
      <c r="V48">
        <v>19517</v>
      </c>
      <c r="W48" t="str">
        <f>+VLOOKUP(V48,Consolidado!$B$2:$M$43,3,FALSE)</f>
        <v>3 Oriente</v>
      </c>
      <c r="X48" s="27">
        <v>8555.1756570494108</v>
      </c>
      <c r="Y48" s="27">
        <v>8555.1756570494108</v>
      </c>
      <c r="Z48" s="26">
        <f t="shared" si="0"/>
        <v>2.9950549433533039E-2</v>
      </c>
      <c r="AA48" s="26">
        <f t="shared" si="1"/>
        <v>2.9950549433533039E-2</v>
      </c>
      <c r="AB48" s="26">
        <f t="shared" ref="AB48:AB49" si="11">+X48/SUM($X$47:$X$49)</f>
        <v>0.39677694899333099</v>
      </c>
      <c r="AC48" s="26">
        <f>+Y48/SUM($Y$47:$Y$49)</f>
        <v>0.39677694899333099</v>
      </c>
      <c r="AD48" s="26">
        <v>0.7025604851330205</v>
      </c>
      <c r="AE48" s="26">
        <f t="shared" si="5"/>
        <v>8.9703541137050626E-4</v>
      </c>
      <c r="AF48" s="26">
        <f t="shared" si="2"/>
        <v>9.4637838180370873E-2</v>
      </c>
      <c r="AG48" s="27">
        <f t="shared" si="6"/>
        <v>9.0411445569723625</v>
      </c>
      <c r="AH48" s="27">
        <f t="shared" si="7"/>
        <v>7.674295514868259</v>
      </c>
      <c r="AI48" s="27">
        <f t="shared" si="8"/>
        <v>809.64332943649015</v>
      </c>
    </row>
    <row r="49" spans="8:35" x14ac:dyDescent="0.2">
      <c r="H49" s="41" t="s">
        <v>19</v>
      </c>
      <c r="I49" s="42"/>
      <c r="J49" s="42"/>
      <c r="K49" s="42">
        <v>8624</v>
      </c>
      <c r="L49" s="42"/>
      <c r="M49" s="42"/>
      <c r="N49" s="42"/>
      <c r="O49" s="42"/>
      <c r="P49" s="42">
        <v>8624</v>
      </c>
      <c r="R49" s="41">
        <v>19517</v>
      </c>
      <c r="S49" s="42">
        <v>8555.1756570494108</v>
      </c>
      <c r="T49" s="42">
        <v>9511</v>
      </c>
      <c r="V49">
        <v>19824</v>
      </c>
      <c r="W49" t="str">
        <f>+VLOOKUP(V49,Consolidado!$B$2:$M$43,3,FALSE)</f>
        <v>3 Oriente</v>
      </c>
      <c r="X49" s="27">
        <v>5446.9593355996385</v>
      </c>
      <c r="Y49" s="27">
        <v>5446.9593355996385</v>
      </c>
      <c r="Z49" s="26">
        <f t="shared" si="0"/>
        <v>1.9069091200821269E-2</v>
      </c>
      <c r="AA49" s="26">
        <f t="shared" si="1"/>
        <v>1.9069091200821269E-2</v>
      </c>
      <c r="AB49" s="26">
        <f t="shared" si="11"/>
        <v>0.25262227137196508</v>
      </c>
      <c r="AC49" s="26">
        <f>+Y49/SUM($Y$47:$Y$49)</f>
        <v>0.25262227137196508</v>
      </c>
      <c r="AD49" s="26">
        <v>0.83451281651733544</v>
      </c>
      <c r="AE49" s="26">
        <f t="shared" si="5"/>
        <v>3.6363023922523916E-4</v>
      </c>
      <c r="AF49" s="26">
        <f t="shared" si="2"/>
        <v>4.2373357317081417E-2</v>
      </c>
      <c r="AG49" s="27">
        <f t="shared" si="6"/>
        <v>18.776892406274847</v>
      </c>
      <c r="AH49" s="27">
        <f t="shared" si="7"/>
        <v>1.9806791262542462</v>
      </c>
      <c r="AI49" s="27">
        <f t="shared" si="8"/>
        <v>230.80595421897587</v>
      </c>
    </row>
    <row r="50" spans="8:35" x14ac:dyDescent="0.2">
      <c r="H50" s="41" t="s">
        <v>28</v>
      </c>
      <c r="I50" s="42"/>
      <c r="J50" s="42"/>
      <c r="K50" s="42"/>
      <c r="L50" s="42"/>
      <c r="M50" s="42">
        <v>8995</v>
      </c>
      <c r="N50" s="42"/>
      <c r="O50" s="42"/>
      <c r="P50" s="42">
        <v>8995</v>
      </c>
      <c r="R50" s="41">
        <v>19532</v>
      </c>
      <c r="S50" s="42">
        <v>7448.0643343304282</v>
      </c>
      <c r="T50" s="42">
        <v>11636</v>
      </c>
      <c r="V50">
        <v>19318</v>
      </c>
      <c r="W50" t="str">
        <f>+VLOOKUP(V50,Consolidado!$B$2:$M$43,3,FALSE)</f>
        <v>4 Occidente</v>
      </c>
      <c r="X50" s="27">
        <v>7066.6364231814387</v>
      </c>
      <c r="Y50" s="27">
        <v>7066.6364231814387</v>
      </c>
      <c r="Z50" s="26">
        <f t="shared" si="0"/>
        <v>2.4739368542000983E-2</v>
      </c>
      <c r="AA50" s="26">
        <f t="shared" si="1"/>
        <v>2.4739368542000983E-2</v>
      </c>
      <c r="AB50" s="26">
        <f>+X50/SUM($X$50:$X$52)</f>
        <v>0.36753490318594317</v>
      </c>
      <c r="AC50" s="26">
        <f>+Y50/SUM($Y$50:$Y$52)</f>
        <v>0.36753490318594317</v>
      </c>
      <c r="AD50" s="26">
        <v>0.51329999999999998</v>
      </c>
      <c r="AE50" s="26">
        <f t="shared" si="5"/>
        <v>6.1203635585694791E-4</v>
      </c>
      <c r="AF50" s="26">
        <f t="shared" si="2"/>
        <v>7.4475578260238415E-2</v>
      </c>
      <c r="AG50" s="27">
        <f t="shared" si="6"/>
        <v>14.422201495325444</v>
      </c>
      <c r="AH50" s="27">
        <f t="shared" si="7"/>
        <v>4.3250384046099448</v>
      </c>
      <c r="AI50" s="27">
        <f t="shared" si="8"/>
        <v>526.29183397130055</v>
      </c>
    </row>
    <row r="51" spans="8:35" x14ac:dyDescent="0.2">
      <c r="H51" s="41" t="s">
        <v>38</v>
      </c>
      <c r="I51" s="42"/>
      <c r="J51" s="42"/>
      <c r="K51" s="42"/>
      <c r="L51" s="42"/>
      <c r="M51" s="42"/>
      <c r="N51" s="42"/>
      <c r="O51" s="42">
        <v>2172</v>
      </c>
      <c r="P51" s="42">
        <v>2172</v>
      </c>
      <c r="R51" s="41">
        <v>19533</v>
      </c>
      <c r="S51" s="42">
        <v>2223.5237242614144</v>
      </c>
      <c r="T51" s="42">
        <v>2815</v>
      </c>
      <c r="V51">
        <v>19418</v>
      </c>
      <c r="W51" t="str">
        <f>+VLOOKUP(V51,Consolidado!$B$2:$M$43,3,FALSE)</f>
        <v>4 Occidente</v>
      </c>
      <c r="X51" s="27">
        <v>5054.4074200538762</v>
      </c>
      <c r="Y51" s="27">
        <v>5054.4074200538762</v>
      </c>
      <c r="Z51" s="26">
        <f t="shared" si="0"/>
        <v>1.769481836025211E-2</v>
      </c>
      <c r="AA51" s="26">
        <f t="shared" si="1"/>
        <v>1.769481836025211E-2</v>
      </c>
      <c r="AB51" s="26">
        <f t="shared" ref="AB51:AB52" si="12">+X51/SUM($X$50:$X$52)</f>
        <v>0.26287911681686327</v>
      </c>
      <c r="AC51" s="26">
        <f>+Y51/SUM($Y$50:$Y$52)</f>
        <v>0.26287911681686327</v>
      </c>
      <c r="AD51" s="26">
        <v>0.63939999999999997</v>
      </c>
      <c r="AE51" s="26">
        <f t="shared" si="5"/>
        <v>3.131065968023152E-4</v>
      </c>
      <c r="AF51" s="26">
        <f t="shared" si="2"/>
        <v>4.1166220712166746E-2</v>
      </c>
      <c r="AG51" s="27">
        <f t="shared" si="6"/>
        <v>22.63159663441326</v>
      </c>
      <c r="AH51" s="27">
        <f t="shared" si="7"/>
        <v>1.5825683061454392</v>
      </c>
      <c r="AI51" s="27">
        <f t="shared" si="8"/>
        <v>208.07085142315117</v>
      </c>
    </row>
    <row r="52" spans="8:35" x14ac:dyDescent="0.2">
      <c r="H52" s="41" t="s">
        <v>4</v>
      </c>
      <c r="I52" s="42">
        <v>9935</v>
      </c>
      <c r="J52" s="42"/>
      <c r="K52" s="42"/>
      <c r="L52" s="42"/>
      <c r="M52" s="42"/>
      <c r="N52" s="42"/>
      <c r="O52" s="42"/>
      <c r="P52" s="42">
        <v>9935</v>
      </c>
      <c r="R52" s="41">
        <v>19548</v>
      </c>
      <c r="S52" s="42">
        <v>8016.2046558933216</v>
      </c>
      <c r="T52" s="42">
        <v>11998</v>
      </c>
      <c r="V52">
        <v>19809</v>
      </c>
      <c r="W52" t="str">
        <f>+VLOOKUP(V52,Consolidado!$B$2:$M$43,3,FALSE)</f>
        <v>4 Occidente</v>
      </c>
      <c r="X52" s="27">
        <v>7106.0727161035065</v>
      </c>
      <c r="Y52" s="27">
        <v>7106.0727161035065</v>
      </c>
      <c r="Z52" s="26">
        <f t="shared" si="0"/>
        <v>2.4877429838225149E-2</v>
      </c>
      <c r="AA52" s="26">
        <f t="shared" si="1"/>
        <v>2.4877429838225149E-2</v>
      </c>
      <c r="AB52" s="26">
        <f t="shared" si="12"/>
        <v>0.36958597999719356</v>
      </c>
      <c r="AC52" s="26">
        <f>+Y52/SUM($Y$50:$Y$52)</f>
        <v>0.36958597999719356</v>
      </c>
      <c r="AD52" s="26">
        <v>0.64155000000000006</v>
      </c>
      <c r="AE52" s="26">
        <f t="shared" si="5"/>
        <v>6.188865153558149E-4</v>
      </c>
      <c r="AF52" s="26">
        <f t="shared" si="2"/>
        <v>8.4862627638161339E-2</v>
      </c>
      <c r="AG52" s="27">
        <f t="shared" si="6"/>
        <v>11.411389108871308</v>
      </c>
      <c r="AH52" s="27">
        <f t="shared" si="7"/>
        <v>4.3978525811343303</v>
      </c>
      <c r="AI52" s="27">
        <f t="shared" si="8"/>
        <v>603.04000287638962</v>
      </c>
    </row>
    <row r="53" spans="8:35" x14ac:dyDescent="0.2">
      <c r="H53" s="41" t="s">
        <v>42</v>
      </c>
      <c r="I53" s="42">
        <v>84936</v>
      </c>
      <c r="J53" s="42"/>
      <c r="K53" s="42"/>
      <c r="L53" s="42"/>
      <c r="M53" s="42"/>
      <c r="N53" s="42"/>
      <c r="O53" s="42"/>
      <c r="P53" s="42">
        <v>84936</v>
      </c>
      <c r="R53" s="41">
        <v>19573</v>
      </c>
      <c r="S53" s="42">
        <v>2143.6231071228267</v>
      </c>
      <c r="T53" s="42">
        <v>13907</v>
      </c>
      <c r="V53">
        <v>19050</v>
      </c>
      <c r="W53" t="str">
        <f>+VLOOKUP(V53,Consolidado!$B$2:$M$43,3,FALSE)</f>
        <v>5 Sur</v>
      </c>
      <c r="X53" s="27">
        <v>8864.2571627266225</v>
      </c>
      <c r="Y53" s="27">
        <v>8864.2571627266225</v>
      </c>
      <c r="Z53" s="26">
        <f t="shared" si="0"/>
        <v>3.1032603301959259E-2</v>
      </c>
      <c r="AA53" s="26">
        <f t="shared" si="1"/>
        <v>3.1032603301959259E-2</v>
      </c>
      <c r="AB53" s="26">
        <f>+X53/SUM($X$53:$X$59)</f>
        <v>0.19809318341386101</v>
      </c>
      <c r="AC53" s="26">
        <f>+Y53/SUM($Y$53:$Y$59)</f>
        <v>0.19809318341386101</v>
      </c>
      <c r="AD53" s="26">
        <v>0.79337639722134501</v>
      </c>
      <c r="AE53" s="26">
        <f t="shared" si="5"/>
        <v>9.630224676967727E-4</v>
      </c>
      <c r="AF53" s="26">
        <f t="shared" si="2"/>
        <v>0.14429642879149274</v>
      </c>
      <c r="AG53" s="27">
        <f t="shared" si="6"/>
        <v>32.120452977260186</v>
      </c>
      <c r="AH53" s="27">
        <f t="shared" si="7"/>
        <v>8.5364788071477857</v>
      </c>
      <c r="AI53" s="27">
        <f t="shared" si="8"/>
        <v>1279.0806524708614</v>
      </c>
    </row>
    <row r="54" spans="8:35" x14ac:dyDescent="0.2">
      <c r="H54" s="41" t="s">
        <v>14</v>
      </c>
      <c r="I54" s="42"/>
      <c r="J54" s="42">
        <v>12429</v>
      </c>
      <c r="K54" s="42"/>
      <c r="L54" s="42"/>
      <c r="M54" s="42"/>
      <c r="N54" s="42"/>
      <c r="O54" s="42"/>
      <c r="P54" s="42">
        <v>12429</v>
      </c>
      <c r="R54" s="41">
        <v>19585</v>
      </c>
      <c r="S54" s="42">
        <v>3676.6615088282501</v>
      </c>
      <c r="T54" s="42">
        <v>4211</v>
      </c>
      <c r="V54">
        <v>19075</v>
      </c>
      <c r="W54" t="str">
        <f>+VLOOKUP(V54,Consolidado!$B$2:$M$43,3,FALSE)</f>
        <v>5 Sur</v>
      </c>
      <c r="X54" s="27">
        <v>6283.4747056951956</v>
      </c>
      <c r="Y54" s="27">
        <v>6283.4747056951956</v>
      </c>
      <c r="Z54" s="26">
        <f t="shared" si="0"/>
        <v>2.1997621946220139E-2</v>
      </c>
      <c r="AA54" s="26">
        <f t="shared" si="1"/>
        <v>2.1997621946220139E-2</v>
      </c>
      <c r="AB54" s="26">
        <f t="shared" ref="AB54:AB59" si="13">+X54/SUM($X$53:$X$59)</f>
        <v>0.14041938139898955</v>
      </c>
      <c r="AC54" s="26">
        <f t="shared" ref="AC54:AC59" si="14">+Y54/SUM($Y$53:$Y$59)</f>
        <v>0.14041938139898955</v>
      </c>
      <c r="AD54" s="26">
        <v>0.92189857835574152</v>
      </c>
      <c r="AE54" s="26">
        <f t="shared" si="5"/>
        <v>4.8389537128882588E-4</v>
      </c>
      <c r="AF54" s="26">
        <f t="shared" si="2"/>
        <v>8.4731966669833125E-2</v>
      </c>
      <c r="AG54" s="27">
        <f t="shared" si="6"/>
        <v>55.012672555389742</v>
      </c>
      <c r="AH54" s="27">
        <f t="shared" si="7"/>
        <v>3.0405443256963225</v>
      </c>
      <c r="AI54" s="27">
        <f t="shared" si="8"/>
        <v>532.41116933370483</v>
      </c>
    </row>
    <row r="55" spans="8:35" x14ac:dyDescent="0.2">
      <c r="H55" s="41" t="s">
        <v>5</v>
      </c>
      <c r="I55" s="42">
        <v>3657</v>
      </c>
      <c r="J55" s="42"/>
      <c r="K55" s="42"/>
      <c r="L55" s="42"/>
      <c r="M55" s="42"/>
      <c r="N55" s="42"/>
      <c r="O55" s="42"/>
      <c r="P55" s="42">
        <v>3657</v>
      </c>
      <c r="R55" s="41">
        <v>19622</v>
      </c>
      <c r="S55" s="42">
        <v>3490.710435117443</v>
      </c>
      <c r="T55" s="42">
        <v>3855</v>
      </c>
      <c r="V55">
        <v>19100</v>
      </c>
      <c r="W55" t="str">
        <f>+VLOOKUP(V55,Consolidado!$B$2:$M$43,3,FALSE)</f>
        <v>5 Sur</v>
      </c>
      <c r="X55" s="27">
        <v>13232.094768075573</v>
      </c>
      <c r="Y55" s="27">
        <v>13232.094768075573</v>
      </c>
      <c r="Z55" s="26">
        <f t="shared" si="0"/>
        <v>4.6323830666631094E-2</v>
      </c>
      <c r="AA55" s="26">
        <f t="shared" si="1"/>
        <v>4.6323830666631094E-2</v>
      </c>
      <c r="AB55" s="26">
        <f t="shared" si="13"/>
        <v>0.29570303836218065</v>
      </c>
      <c r="AC55" s="26">
        <f t="shared" si="14"/>
        <v>0.29570303836218065</v>
      </c>
      <c r="AD55" s="26">
        <v>0.88590483201207992</v>
      </c>
      <c r="AE55" s="26">
        <f t="shared" si="5"/>
        <v>2.1458972876307113E-3</v>
      </c>
      <c r="AF55" s="26">
        <f t="shared" si="2"/>
        <v>0.41054092377957968</v>
      </c>
      <c r="AG55" s="27">
        <f t="shared" si="6"/>
        <v>12.909260231944591</v>
      </c>
      <c r="AH55" s="27">
        <f t="shared" si="7"/>
        <v>28.394716272485898</v>
      </c>
      <c r="AI55" s="27">
        <f t="shared" si="8"/>
        <v>5432.3164096246883</v>
      </c>
    </row>
    <row r="56" spans="8:35" x14ac:dyDescent="0.2">
      <c r="H56" s="41" t="s">
        <v>37</v>
      </c>
      <c r="I56" s="42"/>
      <c r="J56" s="42"/>
      <c r="K56" s="42"/>
      <c r="L56" s="42"/>
      <c r="M56" s="42"/>
      <c r="N56" s="42">
        <v>3237</v>
      </c>
      <c r="O56" s="42"/>
      <c r="P56" s="42">
        <v>3237</v>
      </c>
      <c r="R56" s="41">
        <v>19693</v>
      </c>
      <c r="S56" s="42">
        <v>3956.3931906614789</v>
      </c>
      <c r="T56" s="42">
        <v>4204</v>
      </c>
      <c r="V56">
        <v>19290</v>
      </c>
      <c r="W56" t="str">
        <f>+VLOOKUP(V56,Consolidado!$B$2:$M$43,3,FALSE)</f>
        <v>5 Sur</v>
      </c>
      <c r="X56" s="27">
        <v>1558.0882352941176</v>
      </c>
      <c r="Y56" s="27">
        <v>1558.0882352941176</v>
      </c>
      <c r="Z56" s="26">
        <f t="shared" si="0"/>
        <v>5.4546628361196265E-3</v>
      </c>
      <c r="AA56" s="26">
        <f t="shared" si="1"/>
        <v>5.4546628361196265E-3</v>
      </c>
      <c r="AB56" s="26">
        <f t="shared" si="13"/>
        <v>3.4819235600127577E-2</v>
      </c>
      <c r="AC56" s="26">
        <f t="shared" si="14"/>
        <v>3.4819235600127577E-2</v>
      </c>
      <c r="AD56" s="26">
        <v>0.94617313432835792</v>
      </c>
      <c r="AE56" s="26">
        <f t="shared" si="5"/>
        <v>2.9753346655744608E-5</v>
      </c>
      <c r="AF56" s="26">
        <f t="shared" si="2"/>
        <v>9.6567210763969357E-3</v>
      </c>
      <c r="AG56" s="27">
        <f t="shared" si="6"/>
        <v>871.74792473164064</v>
      </c>
      <c r="AH56" s="27">
        <f t="shared" si="7"/>
        <v>4.6358339384943249E-2</v>
      </c>
      <c r="AI56" s="27">
        <f t="shared" si="8"/>
        <v>15.046023500650813</v>
      </c>
    </row>
    <row r="57" spans="8:35" x14ac:dyDescent="0.2">
      <c r="H57" s="41" t="s">
        <v>39</v>
      </c>
      <c r="I57" s="42"/>
      <c r="J57" s="42"/>
      <c r="K57" s="42"/>
      <c r="L57" s="42"/>
      <c r="M57" s="42"/>
      <c r="N57" s="42"/>
      <c r="O57" s="42">
        <v>2999</v>
      </c>
      <c r="P57" s="42">
        <v>2999</v>
      </c>
      <c r="R57" s="41">
        <v>19698</v>
      </c>
      <c r="S57" s="42">
        <v>16789.556521589719</v>
      </c>
      <c r="T57" s="42">
        <v>35751</v>
      </c>
      <c r="V57">
        <v>19450</v>
      </c>
      <c r="W57" t="str">
        <f>+VLOOKUP(V57,Consolidado!$B$2:$M$43,3,FALSE)</f>
        <v>5 Sur</v>
      </c>
      <c r="X57" s="27">
        <v>5191.2234837167607</v>
      </c>
      <c r="Y57" s="27">
        <v>5191.2234837167607</v>
      </c>
      <c r="Z57" s="26">
        <f t="shared" si="0"/>
        <v>1.8173793479209499E-2</v>
      </c>
      <c r="AA57" s="26">
        <f t="shared" si="1"/>
        <v>1.8173793479209499E-2</v>
      </c>
      <c r="AB57" s="26">
        <f t="shared" si="13"/>
        <v>0.11601039622658355</v>
      </c>
      <c r="AC57" s="26">
        <f t="shared" si="14"/>
        <v>0.11601039622658355</v>
      </c>
      <c r="AD57" s="26">
        <v>0.84560497315625893</v>
      </c>
      <c r="AE57" s="26">
        <f t="shared" si="5"/>
        <v>3.3028676942495772E-4</v>
      </c>
      <c r="AF57" s="26">
        <f t="shared" si="2"/>
        <v>0.10824286626427958</v>
      </c>
      <c r="AG57" s="27">
        <f t="shared" si="6"/>
        <v>87.869600387216508</v>
      </c>
      <c r="AH57" s="27">
        <f t="shared" si="7"/>
        <v>1.7145924337997835</v>
      </c>
      <c r="AI57" s="27">
        <f t="shared" si="8"/>
        <v>561.91290929594084</v>
      </c>
    </row>
    <row r="58" spans="8:35" x14ac:dyDescent="0.2">
      <c r="H58" s="41" t="s">
        <v>40</v>
      </c>
      <c r="I58" s="42"/>
      <c r="J58" s="42"/>
      <c r="K58" s="42"/>
      <c r="L58" s="42"/>
      <c r="M58" s="42"/>
      <c r="N58" s="42"/>
      <c r="O58" s="42">
        <v>1533</v>
      </c>
      <c r="P58" s="42">
        <v>1533</v>
      </c>
      <c r="R58" s="41">
        <v>19701</v>
      </c>
      <c r="S58" s="42">
        <v>1674.9389329333621</v>
      </c>
      <c r="T58" s="42">
        <v>1993</v>
      </c>
      <c r="V58">
        <v>19532</v>
      </c>
      <c r="W58" t="str">
        <f>+VLOOKUP(V58,Consolidado!$B$2:$M$43,3,FALSE)</f>
        <v>5 Sur</v>
      </c>
      <c r="X58" s="27">
        <v>7448.0643343304282</v>
      </c>
      <c r="Y58" s="27">
        <v>7448.0643343304282</v>
      </c>
      <c r="Z58" s="26">
        <f t="shared" si="0"/>
        <v>2.6074697700179492E-2</v>
      </c>
      <c r="AA58" s="26">
        <f t="shared" si="1"/>
        <v>2.6074697700179492E-2</v>
      </c>
      <c r="AB58" s="26">
        <f t="shared" si="13"/>
        <v>0.16644494255680209</v>
      </c>
      <c r="AC58" s="26">
        <f t="shared" si="14"/>
        <v>0.16644494255680209</v>
      </c>
      <c r="AD58" s="26">
        <v>0.82668571428571447</v>
      </c>
      <c r="AE58" s="26">
        <f t="shared" si="5"/>
        <v>6.7988986015574571E-4</v>
      </c>
      <c r="AF58" s="26">
        <f t="shared" si="2"/>
        <v>0.24986192331791901</v>
      </c>
      <c r="AG58" s="27">
        <f t="shared" si="6"/>
        <v>43.663481382987356</v>
      </c>
      <c r="AH58" s="27">
        <f t="shared" si="7"/>
        <v>5.0638634186989124</v>
      </c>
      <c r="AI58" s="27">
        <f t="shared" si="8"/>
        <v>1860.9876795713969</v>
      </c>
    </row>
    <row r="59" spans="8:35" x14ac:dyDescent="0.2">
      <c r="H59" s="41" t="s">
        <v>47</v>
      </c>
      <c r="I59" s="42"/>
      <c r="J59" s="42">
        <v>29001</v>
      </c>
      <c r="K59" s="42"/>
      <c r="L59" s="42"/>
      <c r="M59" s="42"/>
      <c r="N59" s="42"/>
      <c r="O59" s="42"/>
      <c r="P59" s="42">
        <v>29001</v>
      </c>
      <c r="R59" s="41">
        <v>19743</v>
      </c>
      <c r="S59" s="42">
        <v>7959.7212970010651</v>
      </c>
      <c r="T59" s="42">
        <v>9870</v>
      </c>
      <c r="V59">
        <v>19785</v>
      </c>
      <c r="W59" t="str">
        <f>+VLOOKUP(V59,Consolidado!$B$2:$M$43,3,FALSE)</f>
        <v>5 Sur</v>
      </c>
      <c r="X59" s="27">
        <v>2170.7134674134418</v>
      </c>
      <c r="Y59" s="27">
        <v>2170.7134674134418</v>
      </c>
      <c r="Z59" s="26">
        <f t="shared" si="0"/>
        <v>7.5993835331985291E-3</v>
      </c>
      <c r="AA59" s="26">
        <f t="shared" si="1"/>
        <v>7.5993835331985291E-3</v>
      </c>
      <c r="AB59" s="26">
        <f t="shared" si="13"/>
        <v>4.8509822441455561E-2</v>
      </c>
      <c r="AC59" s="26">
        <f t="shared" si="14"/>
        <v>4.8509822441455561E-2</v>
      </c>
      <c r="AD59" s="26">
        <v>0.80514312567132096</v>
      </c>
      <c r="AE59" s="26">
        <f t="shared" si="5"/>
        <v>5.775063008464896E-5</v>
      </c>
      <c r="AF59" s="26">
        <f t="shared" si="2"/>
        <v>2.8292871739266059E-2</v>
      </c>
      <c r="AG59" s="27">
        <f t="shared" si="6"/>
        <v>527.79775758789913</v>
      </c>
      <c r="AH59" s="27">
        <f t="shared" si="7"/>
        <v>0.12536007047635936</v>
      </c>
      <c r="AI59" s="27">
        <f t="shared" si="8"/>
        <v>61.415717716225998</v>
      </c>
    </row>
    <row r="60" spans="8:35" x14ac:dyDescent="0.2">
      <c r="H60" s="41" t="s">
        <v>6</v>
      </c>
      <c r="I60" s="42">
        <v>7897</v>
      </c>
      <c r="J60" s="42"/>
      <c r="K60" s="42"/>
      <c r="L60" s="42"/>
      <c r="M60" s="42"/>
      <c r="N60" s="42"/>
      <c r="O60" s="42"/>
      <c r="P60" s="42">
        <v>7897</v>
      </c>
      <c r="R60" s="41">
        <v>19760</v>
      </c>
      <c r="S60" s="42">
        <v>4463.2863554757632</v>
      </c>
      <c r="T60" s="42">
        <v>4574</v>
      </c>
      <c r="V60">
        <v>19022</v>
      </c>
      <c r="W60" t="str">
        <f>+VLOOKUP(V60,Consolidado!$B$2:$M$43,3,FALSE)</f>
        <v>6 Macizo</v>
      </c>
      <c r="X60" s="27">
        <v>6329.6937379407118</v>
      </c>
      <c r="Y60" s="27">
        <v>6329.6937379407118</v>
      </c>
      <c r="Z60" s="26">
        <f t="shared" si="0"/>
        <v>2.2159428724424484E-2</v>
      </c>
      <c r="AA60" s="26">
        <f t="shared" si="1"/>
        <v>2.2159428724424484E-2</v>
      </c>
      <c r="AB60" s="26">
        <f>+X60/SUM($X$60:$X$64)</f>
        <v>0.25937741324408364</v>
      </c>
      <c r="AC60" s="26">
        <f>+Y60/SUM($Y$60:$Y$64)</f>
        <v>0.25937741324408364</v>
      </c>
      <c r="AD60" s="26">
        <v>0.80482281307083403</v>
      </c>
      <c r="AE60" s="26">
        <f t="shared" si="5"/>
        <v>4.910402813928489E-4</v>
      </c>
      <c r="AF60" s="26">
        <f t="shared" si="2"/>
        <v>0.24757229076060952</v>
      </c>
      <c r="AG60" s="27">
        <f t="shared" si="6"/>
        <v>18.468661112056129</v>
      </c>
      <c r="AH60" s="27">
        <f t="shared" si="7"/>
        <v>3.1081345942089609</v>
      </c>
      <c r="AI60" s="27">
        <f t="shared" si="8"/>
        <v>1567.0567785150672</v>
      </c>
    </row>
    <row r="61" spans="8:35" x14ac:dyDescent="0.2">
      <c r="H61" s="41" t="s">
        <v>33</v>
      </c>
      <c r="I61" s="42"/>
      <c r="J61" s="42"/>
      <c r="K61" s="42"/>
      <c r="L61" s="42"/>
      <c r="M61" s="42"/>
      <c r="N61" s="42">
        <v>3514</v>
      </c>
      <c r="O61" s="42"/>
      <c r="P61" s="42">
        <v>3514</v>
      </c>
      <c r="R61" s="41">
        <v>19780</v>
      </c>
      <c r="S61" s="42">
        <v>7633.3061432377372</v>
      </c>
      <c r="T61" s="42">
        <v>9576</v>
      </c>
      <c r="V61">
        <v>19392</v>
      </c>
      <c r="W61" t="str">
        <f>+VLOOKUP(V61,Consolidado!$B$2:$M$43,3,FALSE)</f>
        <v>6 Macizo</v>
      </c>
      <c r="X61" s="27">
        <v>2821.4278032933798</v>
      </c>
      <c r="Y61" s="27">
        <v>2821.4278032933798</v>
      </c>
      <c r="Z61" s="26">
        <f t="shared" si="0"/>
        <v>9.8774491936998061E-3</v>
      </c>
      <c r="AA61" s="26">
        <f t="shared" si="1"/>
        <v>9.8774491936998061E-3</v>
      </c>
      <c r="AB61" s="26">
        <f t="shared" ref="AB61:AB64" si="15">+X61/SUM($X$60:$X$64)</f>
        <v>0.1156161222914493</v>
      </c>
      <c r="AC61" s="26">
        <f t="shared" ref="AC61:AC64" si="16">+Y61/SUM($Y$60:$Y$64)</f>
        <v>0.1156161222914493</v>
      </c>
      <c r="AD61" s="26">
        <v>0.88170786163522008</v>
      </c>
      <c r="AE61" s="26">
        <f t="shared" si="5"/>
        <v>9.7564002574120946E-5</v>
      </c>
      <c r="AF61" s="26">
        <f t="shared" si="2"/>
        <v>6.5374705202667069E-2</v>
      </c>
      <c r="AG61" s="27">
        <f t="shared" si="6"/>
        <v>84.84739016919103</v>
      </c>
      <c r="AH61" s="27">
        <f t="shared" si="7"/>
        <v>0.27526978946321173</v>
      </c>
      <c r="AI61" s="27">
        <f t="shared" si="8"/>
        <v>184.45001089091323</v>
      </c>
    </row>
    <row r="62" spans="8:35" x14ac:dyDescent="0.2">
      <c r="H62" s="41" t="s">
        <v>48</v>
      </c>
      <c r="I62" s="42"/>
      <c r="J62" s="42">
        <v>7090</v>
      </c>
      <c r="K62" s="42"/>
      <c r="L62" s="42"/>
      <c r="M62" s="42"/>
      <c r="N62" s="42"/>
      <c r="O62" s="42"/>
      <c r="P62" s="42">
        <v>7090</v>
      </c>
      <c r="R62" s="41">
        <v>19785</v>
      </c>
      <c r="S62" s="42">
        <v>2170.7134674134418</v>
      </c>
      <c r="T62" s="42">
        <v>2722</v>
      </c>
      <c r="V62">
        <v>19397</v>
      </c>
      <c r="W62" t="str">
        <f>+VLOOKUP(V62,Consolidado!$B$2:$M$43,3,FALSE)</f>
        <v>6 Macizo</v>
      </c>
      <c r="X62" s="27">
        <v>7298.2931247602401</v>
      </c>
      <c r="Y62" s="27">
        <v>7298.2931247602401</v>
      </c>
      <c r="Z62" s="26">
        <f t="shared" si="0"/>
        <v>2.555036831224276E-2</v>
      </c>
      <c r="AA62" s="26">
        <f t="shared" si="1"/>
        <v>2.555036831224276E-2</v>
      </c>
      <c r="AB62" s="26">
        <f t="shared" si="15"/>
        <v>0.29906856005536531</v>
      </c>
      <c r="AC62" s="26">
        <f t="shared" si="16"/>
        <v>0.29906856005536531</v>
      </c>
      <c r="AD62" s="26">
        <v>0.92619245738422107</v>
      </c>
      <c r="AE62" s="26">
        <f t="shared" si="5"/>
        <v>6.5282132089125892E-4</v>
      </c>
      <c r="AF62" s="26">
        <f t="shared" si="2"/>
        <v>0.46803349402462663</v>
      </c>
      <c r="AG62" s="27">
        <f t="shared" si="6"/>
        <v>12.071388872665528</v>
      </c>
      <c r="AH62" s="27">
        <f t="shared" si="7"/>
        <v>4.7644813579575738</v>
      </c>
      <c r="AI62" s="27">
        <f t="shared" si="8"/>
        <v>3415.8456315974454</v>
      </c>
    </row>
    <row r="63" spans="8:35" x14ac:dyDescent="0.2">
      <c r="H63" s="41" t="s">
        <v>31</v>
      </c>
      <c r="I63" s="42"/>
      <c r="J63" s="42"/>
      <c r="K63" s="42"/>
      <c r="L63" s="42"/>
      <c r="M63" s="42">
        <v>2121</v>
      </c>
      <c r="N63" s="42"/>
      <c r="O63" s="42"/>
      <c r="P63" s="42">
        <v>2121</v>
      </c>
      <c r="R63" s="41">
        <v>19807</v>
      </c>
      <c r="S63" s="42">
        <v>7327.8959697853415</v>
      </c>
      <c r="T63" s="42">
        <v>11607</v>
      </c>
      <c r="V63">
        <v>19622</v>
      </c>
      <c r="W63" t="str">
        <f>+VLOOKUP(V63,Consolidado!$B$2:$M$43,3,FALSE)</f>
        <v>6 Macizo</v>
      </c>
      <c r="X63" s="27">
        <v>3490.710435117443</v>
      </c>
      <c r="Y63" s="27">
        <v>3490.710435117443</v>
      </c>
      <c r="Z63" s="26">
        <f t="shared" si="0"/>
        <v>1.2220520026258857E-2</v>
      </c>
      <c r="AA63" s="26">
        <f t="shared" si="1"/>
        <v>1.2220520026258857E-2</v>
      </c>
      <c r="AB63" s="26">
        <f t="shared" si="15"/>
        <v>0.14304190384722415</v>
      </c>
      <c r="AC63" s="26">
        <f t="shared" si="16"/>
        <v>0.14304190384722415</v>
      </c>
      <c r="AD63" s="26">
        <v>0.92648809523809494</v>
      </c>
      <c r="AE63" s="26">
        <f t="shared" si="5"/>
        <v>1.4934110971219378E-4</v>
      </c>
      <c r="AF63" s="26">
        <f t="shared" si="2"/>
        <v>0.20126937091529723</v>
      </c>
      <c r="AG63" s="27">
        <f t="shared" si="6"/>
        <v>52.751351771026002</v>
      </c>
      <c r="AH63" s="27">
        <f t="shared" si="7"/>
        <v>0.52130657006437375</v>
      </c>
      <c r="AI63" s="27">
        <f t="shared" si="8"/>
        <v>702.57309332355123</v>
      </c>
    </row>
    <row r="64" spans="8:35" x14ac:dyDescent="0.2">
      <c r="H64" s="41" t="s">
        <v>49</v>
      </c>
      <c r="I64" s="42">
        <v>9296</v>
      </c>
      <c r="J64" s="42"/>
      <c r="K64" s="42"/>
      <c r="L64" s="42"/>
      <c r="M64" s="42"/>
      <c r="N64" s="42"/>
      <c r="O64" s="42"/>
      <c r="P64" s="42">
        <v>9296</v>
      </c>
      <c r="R64" s="41">
        <v>19809</v>
      </c>
      <c r="S64" s="42">
        <v>5264.9228597358078</v>
      </c>
      <c r="T64" s="42">
        <v>6974</v>
      </c>
      <c r="V64">
        <v>19760</v>
      </c>
      <c r="W64" t="str">
        <f>+VLOOKUP(V64,Consolidado!$B$2:$M$43,3,FALSE)</f>
        <v>6 Macizo</v>
      </c>
      <c r="X64" s="27">
        <v>4463.2863554757632</v>
      </c>
      <c r="Y64" s="27">
        <v>4463.2863554757632</v>
      </c>
      <c r="Z64" s="26">
        <f t="shared" si="0"/>
        <v>1.5625380937157103E-2</v>
      </c>
      <c r="AA64" s="26">
        <f t="shared" si="1"/>
        <v>1.5625380937157103E-2</v>
      </c>
      <c r="AB64" s="26">
        <f t="shared" si="15"/>
        <v>0.18289600056187755</v>
      </c>
      <c r="AC64" s="26">
        <f t="shared" si="16"/>
        <v>0.18289600056187755</v>
      </c>
      <c r="AD64" s="26">
        <v>0.88776380103507746</v>
      </c>
      <c r="AE64" s="26">
        <f t="shared" si="5"/>
        <v>2.4415252943127262E-4</v>
      </c>
      <c r="AF64" s="26">
        <f t="shared" si="2"/>
        <v>0.41196394114786755</v>
      </c>
      <c r="AG64" s="27">
        <f t="shared" si="6"/>
        <v>33.673956769834447</v>
      </c>
      <c r="AH64" s="27">
        <f t="shared" si="7"/>
        <v>1.0897226532654938</v>
      </c>
      <c r="AI64" s="27">
        <f t="shared" si="8"/>
        <v>1838.7130374732976</v>
      </c>
    </row>
    <row r="65" spans="8:36" x14ac:dyDescent="0.2">
      <c r="H65" s="41" t="s">
        <v>22</v>
      </c>
      <c r="I65" s="42"/>
      <c r="J65" s="42"/>
      <c r="K65" s="42"/>
      <c r="L65" s="42">
        <v>5780</v>
      </c>
      <c r="M65" s="42"/>
      <c r="N65" s="42"/>
      <c r="O65" s="42"/>
      <c r="P65" s="42">
        <v>5780</v>
      </c>
      <c r="R65" s="41">
        <v>19821</v>
      </c>
      <c r="S65" s="42">
        <v>8461.7339902980748</v>
      </c>
      <c r="T65" s="42">
        <v>8866</v>
      </c>
      <c r="V65">
        <v>19533</v>
      </c>
      <c r="W65" t="str">
        <f>+VLOOKUP(V65,Consolidado!$B$2:$M$43,3,FALSE)</f>
        <v>7 Bota caucana</v>
      </c>
      <c r="X65" s="27">
        <v>2957.4009172438705</v>
      </c>
      <c r="Y65" s="27">
        <v>2957.4009172438705</v>
      </c>
      <c r="Z65" s="26">
        <f t="shared" si="0"/>
        <v>1.0353473256122171E-2</v>
      </c>
      <c r="AA65" s="26">
        <f t="shared" si="1"/>
        <v>1.0353473256122171E-2</v>
      </c>
      <c r="AB65" s="26">
        <f>+X65/SUM($X$65:$X$67)</f>
        <v>0.33144596650454866</v>
      </c>
      <c r="AC65" s="26">
        <f>+Y65/SUM($Y$65:$Y$67)</f>
        <v>0.33144596650454866</v>
      </c>
      <c r="AD65" s="26">
        <v>0.309090837696335</v>
      </c>
      <c r="AE65" s="26">
        <f t="shared" si="5"/>
        <v>1.0719440846523702E-4</v>
      </c>
      <c r="AF65" s="26">
        <f t="shared" si="2"/>
        <v>0.30758570665774321</v>
      </c>
      <c r="AG65" s="27">
        <f t="shared" si="6"/>
        <v>29.450209722555986</v>
      </c>
      <c r="AH65" s="27">
        <f t="shared" si="7"/>
        <v>0.3170168419185061</v>
      </c>
      <c r="AI65" s="27">
        <f t="shared" si="8"/>
        <v>909.65425100071388</v>
      </c>
    </row>
    <row r="66" spans="8:36" x14ac:dyDescent="0.2">
      <c r="H66" s="41" t="s">
        <v>15</v>
      </c>
      <c r="I66" s="42"/>
      <c r="J66" s="42">
        <v>7752</v>
      </c>
      <c r="K66" s="42"/>
      <c r="L66" s="42"/>
      <c r="M66" s="42"/>
      <c r="N66" s="42"/>
      <c r="O66" s="42"/>
      <c r="P66" s="42">
        <v>7752</v>
      </c>
      <c r="R66" s="41">
        <v>19824</v>
      </c>
      <c r="S66" s="42">
        <v>5446.9593355996385</v>
      </c>
      <c r="T66" s="42">
        <v>5586</v>
      </c>
      <c r="V66">
        <v>19693</v>
      </c>
      <c r="W66" t="str">
        <f>+VLOOKUP(V66,Consolidado!$B$2:$M$43,3,FALSE)</f>
        <v>7 Bota caucana</v>
      </c>
      <c r="X66" s="27">
        <v>3956.3931906614789</v>
      </c>
      <c r="Y66" s="27">
        <v>3956.3931906614789</v>
      </c>
      <c r="Z66" s="26">
        <f t="shared" si="0"/>
        <v>1.3850814359113719E-2</v>
      </c>
      <c r="AA66" s="26">
        <f t="shared" si="1"/>
        <v>1.3850814359113719E-2</v>
      </c>
      <c r="AB66" s="26">
        <f t="shared" ref="AB66:AB67" si="17">+X66/SUM($X$65:$X$67)</f>
        <v>0.44340642396665464</v>
      </c>
      <c r="AC66" s="26">
        <f t="shared" ref="AC66:AC67" si="18">+Y66/SUM($Y$65:$Y$67)</f>
        <v>0.44340642396665464</v>
      </c>
      <c r="AD66" s="26">
        <v>0.87424266984505361</v>
      </c>
      <c r="AE66" s="26">
        <f t="shared" si="5"/>
        <v>1.9184505841063077E-4</v>
      </c>
      <c r="AF66" s="26">
        <f t="shared" si="2"/>
        <v>0.79502101901106825</v>
      </c>
      <c r="AG66" s="27">
        <f t="shared" si="6"/>
        <v>5.8178703494893167</v>
      </c>
      <c r="AH66" s="27">
        <f t="shared" si="7"/>
        <v>0.75901448275787331</v>
      </c>
      <c r="AI66" s="27">
        <f t="shared" si="8"/>
        <v>3145.4157460481406</v>
      </c>
    </row>
    <row r="67" spans="8:36" x14ac:dyDescent="0.2">
      <c r="H67" s="41" t="s">
        <v>50</v>
      </c>
      <c r="I67" s="42"/>
      <c r="J67" s="42"/>
      <c r="K67" s="42">
        <v>4169</v>
      </c>
      <c r="L67" s="42"/>
      <c r="M67" s="42"/>
      <c r="N67" s="42"/>
      <c r="O67" s="42"/>
      <c r="P67" s="42">
        <v>4169</v>
      </c>
      <c r="R67" s="41">
        <v>19845</v>
      </c>
      <c r="S67" s="42">
        <v>1956.4145658263305</v>
      </c>
      <c r="T67" s="42">
        <v>7201</v>
      </c>
      <c r="V67">
        <v>19701</v>
      </c>
      <c r="W67" t="str">
        <f>+VLOOKUP(V67,Consolidado!$B$2:$M$43,3,FALSE)</f>
        <v>7 Bota caucana</v>
      </c>
      <c r="X67" s="27">
        <v>2008.9300043619337</v>
      </c>
      <c r="Y67" s="27">
        <v>2008.9300043619337</v>
      </c>
      <c r="Z67" s="26">
        <f t="shared" si="0"/>
        <v>7.0330008191674389E-3</v>
      </c>
      <c r="AA67" s="26">
        <f t="shared" si="1"/>
        <v>7.0330008191674389E-3</v>
      </c>
      <c r="AB67" s="26">
        <f t="shared" si="17"/>
        <v>0.22514760952879675</v>
      </c>
      <c r="AC67" s="26">
        <f t="shared" si="18"/>
        <v>0.22514760952879675</v>
      </c>
      <c r="AD67" s="26">
        <v>0.7958265720645521</v>
      </c>
      <c r="AE67" s="26">
        <f t="shared" si="5"/>
        <v>4.9463100522409865E-5</v>
      </c>
      <c r="AF67" s="26">
        <f t="shared" si="2"/>
        <v>1</v>
      </c>
      <c r="AG67" s="27">
        <f t="shared" si="6"/>
        <v>24.788307995915591</v>
      </c>
      <c r="AH67" s="27">
        <f t="shared" si="7"/>
        <v>9.9367906748239615E-2</v>
      </c>
      <c r="AI67" s="27">
        <f t="shared" si="8"/>
        <v>2008.9300043619337</v>
      </c>
    </row>
    <row r="68" spans="8:36" x14ac:dyDescent="0.2">
      <c r="H68" s="41" t="s">
        <v>51</v>
      </c>
      <c r="I68" s="42"/>
      <c r="J68" s="42">
        <v>6326</v>
      </c>
      <c r="K68" s="42"/>
      <c r="L68" s="42"/>
      <c r="M68" s="42"/>
      <c r="N68" s="42"/>
      <c r="O68" s="42"/>
      <c r="P68" s="42">
        <v>6326</v>
      </c>
      <c r="R68" s="41" t="s">
        <v>139</v>
      </c>
      <c r="S68" s="42">
        <v>275985.07097521488</v>
      </c>
      <c r="T68" s="42">
        <v>457643</v>
      </c>
      <c r="V68" s="43" t="s">
        <v>139</v>
      </c>
      <c r="W68" s="43"/>
      <c r="X68" s="43">
        <v>367793</v>
      </c>
      <c r="Y68" s="43">
        <v>457643</v>
      </c>
      <c r="Z68" s="44">
        <f>+SUM(Z26:Z67)</f>
        <v>0.99999999999999944</v>
      </c>
      <c r="AA68" s="44"/>
      <c r="AB68" s="44"/>
      <c r="AC68" s="44"/>
      <c r="AD68" s="44"/>
      <c r="AE68" s="44"/>
      <c r="AF68" s="44"/>
      <c r="AI68" s="27"/>
    </row>
    <row r="69" spans="8:36" x14ac:dyDescent="0.2">
      <c r="H69" s="41" t="s">
        <v>139</v>
      </c>
      <c r="I69" s="42">
        <v>145782</v>
      </c>
      <c r="J69" s="42">
        <v>115137</v>
      </c>
      <c r="K69" s="42">
        <v>19587</v>
      </c>
      <c r="L69" s="42">
        <v>15929</v>
      </c>
      <c r="M69" s="42">
        <v>44189</v>
      </c>
      <c r="N69" s="42">
        <v>20465</v>
      </c>
      <c r="O69" s="42">
        <v>6704</v>
      </c>
      <c r="P69" s="42">
        <v>367793</v>
      </c>
      <c r="AG69" t="s">
        <v>217</v>
      </c>
      <c r="AH69" s="153">
        <f>+AVERAGE(AH26:AH67)+8.3</f>
        <v>204.02068647432662</v>
      </c>
      <c r="AI69" s="153">
        <f>+AVERAGE(AI26:AI67)+GETPIVOTDATA("Vivienda_ocupadas",$K$14,"Region","2 Norte")</f>
        <v>9752.4540278159402</v>
      </c>
    </row>
    <row r="70" spans="8:36" x14ac:dyDescent="0.2">
      <c r="AG70" t="s">
        <v>218</v>
      </c>
      <c r="AH70" s="154">
        <f>+AVERAGE(AE26:AE67)</f>
        <v>1.0187421696420479E-2</v>
      </c>
      <c r="AI70" s="27">
        <f>+SUM(AI26:AI67)</f>
        <v>37621.992245192501</v>
      </c>
      <c r="AJ70" s="152">
        <f>+AI70-AI71</f>
        <v>1113.173993999997</v>
      </c>
    </row>
    <row r="71" spans="8:36" x14ac:dyDescent="0.2">
      <c r="AI71" s="27">
        <f>+AI70-1113.173994</f>
        <v>36508.818251192504</v>
      </c>
    </row>
    <row r="73" spans="8:36" x14ac:dyDescent="0.2">
      <c r="H73" s="40" t="s">
        <v>145</v>
      </c>
      <c r="I73" s="40" t="s">
        <v>140</v>
      </c>
    </row>
    <row r="74" spans="8:36" x14ac:dyDescent="0.2">
      <c r="H74" s="40" t="s">
        <v>138</v>
      </c>
      <c r="I74" t="s">
        <v>0</v>
      </c>
      <c r="J74" t="s">
        <v>8</v>
      </c>
      <c r="K74" t="s">
        <v>17</v>
      </c>
      <c r="L74" t="s">
        <v>21</v>
      </c>
      <c r="M74" t="s">
        <v>24</v>
      </c>
      <c r="N74" t="s">
        <v>32</v>
      </c>
      <c r="O74" t="s">
        <v>131</v>
      </c>
      <c r="P74" t="s">
        <v>139</v>
      </c>
    </row>
    <row r="75" spans="8:36" x14ac:dyDescent="0.2">
      <c r="H75" s="41" t="s">
        <v>35</v>
      </c>
      <c r="I75" s="42"/>
      <c r="J75" s="42"/>
      <c r="K75" s="42"/>
      <c r="L75" s="42"/>
      <c r="M75" s="42"/>
      <c r="N75" s="42">
        <v>9</v>
      </c>
      <c r="O75" s="42"/>
      <c r="P75" s="42">
        <v>9</v>
      </c>
    </row>
    <row r="76" spans="8:36" x14ac:dyDescent="0.2">
      <c r="H76" s="41" t="s">
        <v>25</v>
      </c>
      <c r="I76" s="42"/>
      <c r="J76" s="42"/>
      <c r="K76" s="42"/>
      <c r="L76" s="42"/>
      <c r="M76" s="42">
        <v>13</v>
      </c>
      <c r="N76" s="42"/>
      <c r="O76" s="42"/>
      <c r="P76" s="42">
        <v>13</v>
      </c>
    </row>
    <row r="77" spans="8:36" x14ac:dyDescent="0.2">
      <c r="H77" s="41" t="s">
        <v>26</v>
      </c>
      <c r="I77" s="42"/>
      <c r="J77" s="42"/>
      <c r="K77" s="42"/>
      <c r="L77" s="42"/>
      <c r="M77" s="42">
        <v>9</v>
      </c>
      <c r="N77" s="42"/>
      <c r="O77" s="42"/>
      <c r="P77" s="42">
        <v>9</v>
      </c>
    </row>
    <row r="78" spans="8:36" x14ac:dyDescent="0.2">
      <c r="H78" s="41" t="s">
        <v>43</v>
      </c>
      <c r="I78" s="42"/>
      <c r="J78" s="42"/>
      <c r="K78" s="42"/>
      <c r="L78" s="42"/>
      <c r="M78" s="42">
        <v>14</v>
      </c>
      <c r="N78" s="42"/>
      <c r="O78" s="42"/>
      <c r="P78" s="42">
        <v>14</v>
      </c>
    </row>
    <row r="79" spans="8:36" x14ac:dyDescent="0.2">
      <c r="H79" s="41" t="s">
        <v>9</v>
      </c>
      <c r="I79" s="42"/>
      <c r="J79" s="42">
        <v>8</v>
      </c>
      <c r="K79" s="42"/>
      <c r="L79" s="42"/>
      <c r="M79" s="42"/>
      <c r="N79" s="42"/>
      <c r="O79" s="42"/>
      <c r="P79" s="42">
        <v>8</v>
      </c>
    </row>
    <row r="80" spans="8:36" x14ac:dyDescent="0.2">
      <c r="H80" s="41" t="s">
        <v>1</v>
      </c>
      <c r="I80" s="42">
        <v>2</v>
      </c>
      <c r="J80" s="42"/>
      <c r="K80" s="42"/>
      <c r="L80" s="42"/>
      <c r="M80" s="42"/>
      <c r="N80" s="42"/>
      <c r="O80" s="42"/>
      <c r="P80" s="42">
        <v>2</v>
      </c>
    </row>
    <row r="81" spans="8:16" x14ac:dyDescent="0.2">
      <c r="H81" s="41" t="s">
        <v>16</v>
      </c>
      <c r="I81" s="42"/>
      <c r="J81" s="42">
        <v>4</v>
      </c>
      <c r="K81" s="42"/>
      <c r="L81" s="42"/>
      <c r="M81" s="42"/>
      <c r="N81" s="42"/>
      <c r="O81" s="42"/>
      <c r="P81" s="42">
        <v>4</v>
      </c>
    </row>
    <row r="82" spans="8:16" x14ac:dyDescent="0.2">
      <c r="H82" s="41" t="s">
        <v>10</v>
      </c>
      <c r="I82" s="42"/>
      <c r="J82" s="42">
        <v>5</v>
      </c>
      <c r="K82" s="42"/>
      <c r="L82" s="42"/>
      <c r="M82" s="42"/>
      <c r="N82" s="42"/>
      <c r="O82" s="42"/>
      <c r="P82" s="42">
        <v>5</v>
      </c>
    </row>
    <row r="83" spans="8:16" x14ac:dyDescent="0.2">
      <c r="H83" s="41" t="s">
        <v>11</v>
      </c>
      <c r="I83" s="42"/>
      <c r="J83" s="42">
        <v>5</v>
      </c>
      <c r="K83" s="42"/>
      <c r="L83" s="42"/>
      <c r="M83" s="42"/>
      <c r="N83" s="42"/>
      <c r="O83" s="42"/>
      <c r="P83" s="42">
        <v>5</v>
      </c>
    </row>
    <row r="84" spans="8:16" x14ac:dyDescent="0.2">
      <c r="H84" s="41" t="s">
        <v>2</v>
      </c>
      <c r="I84" s="42">
        <v>20</v>
      </c>
      <c r="J84" s="42"/>
      <c r="K84" s="42"/>
      <c r="L84" s="42"/>
      <c r="M84" s="42"/>
      <c r="N84" s="42"/>
      <c r="O84" s="42"/>
      <c r="P84" s="42">
        <v>20</v>
      </c>
    </row>
    <row r="85" spans="8:16" x14ac:dyDescent="0.2">
      <c r="H85" s="41" t="s">
        <v>29</v>
      </c>
      <c r="I85" s="42"/>
      <c r="J85" s="42"/>
      <c r="K85" s="42"/>
      <c r="L85" s="42"/>
      <c r="M85" s="42">
        <v>2</v>
      </c>
      <c r="N85" s="42"/>
      <c r="O85" s="42"/>
      <c r="P85" s="42">
        <v>2</v>
      </c>
    </row>
    <row r="86" spans="8:16" x14ac:dyDescent="0.2">
      <c r="H86" s="41" t="s">
        <v>44</v>
      </c>
      <c r="I86" s="42"/>
      <c r="J86" s="42">
        <v>1</v>
      </c>
      <c r="K86" s="42"/>
      <c r="L86" s="42"/>
      <c r="M86" s="42"/>
      <c r="N86" s="42"/>
      <c r="O86" s="42"/>
      <c r="P86" s="42">
        <v>1</v>
      </c>
    </row>
    <row r="87" spans="8:16" x14ac:dyDescent="0.2">
      <c r="H87" s="41" t="s">
        <v>23</v>
      </c>
      <c r="I87" s="42"/>
      <c r="J87" s="42"/>
      <c r="K87" s="42"/>
      <c r="L87" s="42">
        <v>0</v>
      </c>
      <c r="M87" s="42"/>
      <c r="N87" s="42"/>
      <c r="O87" s="42"/>
      <c r="P87" s="42">
        <v>0</v>
      </c>
    </row>
    <row r="88" spans="8:16" x14ac:dyDescent="0.2">
      <c r="H88" s="41" t="s">
        <v>18</v>
      </c>
      <c r="I88" s="42"/>
      <c r="J88" s="42"/>
      <c r="K88" s="42">
        <v>7</v>
      </c>
      <c r="L88" s="42"/>
      <c r="M88" s="42"/>
      <c r="N88" s="42"/>
      <c r="O88" s="42"/>
      <c r="P88" s="42">
        <v>7</v>
      </c>
    </row>
    <row r="89" spans="8:16" x14ac:dyDescent="0.2">
      <c r="H89" s="41" t="s">
        <v>45</v>
      </c>
      <c r="I89" s="42"/>
      <c r="J89" s="42">
        <v>5</v>
      </c>
      <c r="K89" s="42"/>
      <c r="L89" s="42"/>
      <c r="M89" s="42"/>
      <c r="N89" s="42"/>
      <c r="O89" s="42"/>
      <c r="P89" s="42">
        <v>5</v>
      </c>
    </row>
    <row r="90" spans="8:16" x14ac:dyDescent="0.2">
      <c r="H90" s="41" t="s">
        <v>36</v>
      </c>
      <c r="I90" s="42"/>
      <c r="J90" s="42"/>
      <c r="K90" s="42"/>
      <c r="L90" s="42"/>
      <c r="M90" s="42"/>
      <c r="N90" s="42">
        <v>3</v>
      </c>
      <c r="O90" s="42"/>
      <c r="P90" s="42">
        <v>3</v>
      </c>
    </row>
    <row r="91" spans="8:16" x14ac:dyDescent="0.2">
      <c r="H91" s="41" t="s">
        <v>34</v>
      </c>
      <c r="I91" s="42"/>
      <c r="J91" s="42"/>
      <c r="K91" s="42"/>
      <c r="L91" s="42"/>
      <c r="M91" s="42"/>
      <c r="N91" s="42">
        <v>12</v>
      </c>
      <c r="O91" s="42"/>
      <c r="P91" s="42">
        <v>12</v>
      </c>
    </row>
    <row r="92" spans="8:16" x14ac:dyDescent="0.2">
      <c r="H92" s="41" t="s">
        <v>46</v>
      </c>
      <c r="I92" s="42"/>
      <c r="J92" s="42"/>
      <c r="K92" s="42"/>
      <c r="L92" s="42">
        <v>3</v>
      </c>
      <c r="M92" s="42"/>
      <c r="N92" s="42"/>
      <c r="O92" s="42"/>
      <c r="P92" s="42">
        <v>3</v>
      </c>
    </row>
    <row r="93" spans="8:16" x14ac:dyDescent="0.2">
      <c r="H93" s="41" t="s">
        <v>30</v>
      </c>
      <c r="I93" s="42"/>
      <c r="J93" s="42"/>
      <c r="K93" s="42"/>
      <c r="L93" s="42"/>
      <c r="M93" s="42">
        <v>7</v>
      </c>
      <c r="N93" s="42"/>
      <c r="O93" s="42"/>
      <c r="P93" s="42">
        <v>7</v>
      </c>
    </row>
    <row r="94" spans="8:16" x14ac:dyDescent="0.2">
      <c r="H94" s="41" t="s">
        <v>12</v>
      </c>
      <c r="I94" s="42"/>
      <c r="J94" s="42">
        <v>3</v>
      </c>
      <c r="K94" s="42"/>
      <c r="L94" s="42"/>
      <c r="M94" s="42"/>
      <c r="N94" s="42"/>
      <c r="O94" s="42"/>
      <c r="P94" s="42">
        <v>3</v>
      </c>
    </row>
    <row r="95" spans="8:16" x14ac:dyDescent="0.2">
      <c r="H95" s="41" t="s">
        <v>3</v>
      </c>
      <c r="I95" s="42">
        <v>6</v>
      </c>
      <c r="J95" s="42"/>
      <c r="K95" s="42"/>
      <c r="L95" s="42"/>
      <c r="M95" s="42"/>
      <c r="N95" s="42"/>
      <c r="O95" s="42"/>
      <c r="P95" s="42">
        <v>6</v>
      </c>
    </row>
    <row r="96" spans="8:16" x14ac:dyDescent="0.2">
      <c r="H96" s="41" t="s">
        <v>13</v>
      </c>
      <c r="I96" s="42"/>
      <c r="J96" s="42">
        <v>6</v>
      </c>
      <c r="K96" s="42"/>
      <c r="L96" s="42"/>
      <c r="M96" s="42"/>
      <c r="N96" s="42"/>
      <c r="O96" s="42"/>
      <c r="P96" s="42">
        <v>6</v>
      </c>
    </row>
    <row r="97" spans="8:16" x14ac:dyDescent="0.2">
      <c r="H97" s="41" t="s">
        <v>19</v>
      </c>
      <c r="I97" s="42"/>
      <c r="J97" s="42"/>
      <c r="K97" s="42">
        <v>21</v>
      </c>
      <c r="L97" s="42"/>
      <c r="M97" s="42"/>
      <c r="N97" s="42"/>
      <c r="O97" s="42"/>
      <c r="P97" s="42">
        <v>21</v>
      </c>
    </row>
    <row r="98" spans="8:16" x14ac:dyDescent="0.2">
      <c r="H98" s="41" t="s">
        <v>28</v>
      </c>
      <c r="I98" s="42"/>
      <c r="J98" s="42"/>
      <c r="K98" s="42"/>
      <c r="L98" s="42"/>
      <c r="M98" s="42">
        <v>22</v>
      </c>
      <c r="N98" s="42"/>
      <c r="O98" s="42"/>
      <c r="P98" s="42">
        <v>22</v>
      </c>
    </row>
    <row r="99" spans="8:16" x14ac:dyDescent="0.2">
      <c r="H99" s="41" t="s">
        <v>38</v>
      </c>
      <c r="I99" s="42"/>
      <c r="J99" s="42"/>
      <c r="K99" s="42"/>
      <c r="L99" s="42"/>
      <c r="M99" s="42"/>
      <c r="N99" s="42"/>
      <c r="O99" s="42">
        <v>7</v>
      </c>
      <c r="P99" s="42">
        <v>7</v>
      </c>
    </row>
    <row r="100" spans="8:16" x14ac:dyDescent="0.2">
      <c r="H100" s="41" t="s">
        <v>4</v>
      </c>
      <c r="I100" s="42">
        <v>0</v>
      </c>
      <c r="J100" s="42"/>
      <c r="K100" s="42"/>
      <c r="L100" s="42"/>
      <c r="M100" s="42"/>
      <c r="N100" s="42"/>
      <c r="O100" s="42"/>
      <c r="P100" s="42">
        <v>0</v>
      </c>
    </row>
    <row r="101" spans="8:16" x14ac:dyDescent="0.2">
      <c r="H101" s="41" t="s">
        <v>42</v>
      </c>
      <c r="I101" s="42">
        <v>23</v>
      </c>
      <c r="J101" s="42"/>
      <c r="K101" s="42"/>
      <c r="L101" s="42"/>
      <c r="M101" s="42"/>
      <c r="N101" s="42"/>
      <c r="O101" s="42"/>
      <c r="P101" s="42">
        <v>23</v>
      </c>
    </row>
    <row r="102" spans="8:16" x14ac:dyDescent="0.2">
      <c r="H102" s="41" t="s">
        <v>14</v>
      </c>
      <c r="I102" s="42"/>
      <c r="J102" s="42">
        <v>0</v>
      </c>
      <c r="K102" s="42"/>
      <c r="L102" s="42"/>
      <c r="M102" s="42"/>
      <c r="N102" s="42"/>
      <c r="O102" s="42"/>
      <c r="P102" s="42">
        <v>0</v>
      </c>
    </row>
    <row r="103" spans="8:16" x14ac:dyDescent="0.2">
      <c r="H103" s="41" t="s">
        <v>5</v>
      </c>
      <c r="I103" s="42">
        <v>1</v>
      </c>
      <c r="J103" s="42"/>
      <c r="K103" s="42"/>
      <c r="L103" s="42"/>
      <c r="M103" s="42"/>
      <c r="N103" s="42"/>
      <c r="O103" s="42"/>
      <c r="P103" s="42">
        <v>1</v>
      </c>
    </row>
    <row r="104" spans="8:16" x14ac:dyDescent="0.2">
      <c r="H104" s="41" t="s">
        <v>37</v>
      </c>
      <c r="I104" s="42"/>
      <c r="J104" s="42"/>
      <c r="K104" s="42"/>
      <c r="L104" s="42"/>
      <c r="M104" s="42"/>
      <c r="N104" s="42">
        <v>4</v>
      </c>
      <c r="O104" s="42"/>
      <c r="P104" s="42">
        <v>4</v>
      </c>
    </row>
    <row r="105" spans="8:16" x14ac:dyDescent="0.2">
      <c r="H105" s="41" t="s">
        <v>39</v>
      </c>
      <c r="I105" s="42"/>
      <c r="J105" s="42"/>
      <c r="K105" s="42"/>
      <c r="L105" s="42"/>
      <c r="M105" s="42"/>
      <c r="N105" s="42"/>
      <c r="O105" s="42">
        <v>6</v>
      </c>
      <c r="P105" s="42">
        <v>6</v>
      </c>
    </row>
    <row r="106" spans="8:16" x14ac:dyDescent="0.2">
      <c r="H106" s="41" t="s">
        <v>40</v>
      </c>
      <c r="I106" s="42"/>
      <c r="J106" s="42"/>
      <c r="K106" s="42"/>
      <c r="L106" s="42"/>
      <c r="M106" s="42"/>
      <c r="N106" s="42"/>
      <c r="O106" s="42">
        <v>4</v>
      </c>
      <c r="P106" s="42">
        <v>4</v>
      </c>
    </row>
    <row r="107" spans="8:16" x14ac:dyDescent="0.2">
      <c r="H107" s="41" t="s">
        <v>47</v>
      </c>
      <c r="I107" s="42"/>
      <c r="J107" s="42">
        <v>0</v>
      </c>
      <c r="K107" s="42"/>
      <c r="L107" s="42"/>
      <c r="M107" s="42"/>
      <c r="N107" s="42"/>
      <c r="O107" s="42"/>
      <c r="P107" s="42">
        <v>0</v>
      </c>
    </row>
    <row r="108" spans="8:16" x14ac:dyDescent="0.2">
      <c r="H108" s="41" t="s">
        <v>6</v>
      </c>
      <c r="I108" s="42">
        <v>3</v>
      </c>
      <c r="J108" s="42"/>
      <c r="K108" s="42"/>
      <c r="L108" s="42"/>
      <c r="M108" s="42"/>
      <c r="N108" s="42"/>
      <c r="O108" s="42"/>
      <c r="P108" s="42">
        <v>3</v>
      </c>
    </row>
    <row r="109" spans="8:16" x14ac:dyDescent="0.2">
      <c r="H109" s="41" t="s">
        <v>33</v>
      </c>
      <c r="I109" s="42"/>
      <c r="J109" s="42"/>
      <c r="K109" s="42"/>
      <c r="L109" s="42"/>
      <c r="M109" s="42"/>
      <c r="N109" s="42">
        <v>9</v>
      </c>
      <c r="O109" s="42"/>
      <c r="P109" s="42">
        <v>9</v>
      </c>
    </row>
    <row r="110" spans="8:16" x14ac:dyDescent="0.2">
      <c r="H110" s="41" t="s">
        <v>48</v>
      </c>
      <c r="I110" s="42"/>
      <c r="J110" s="42">
        <v>0</v>
      </c>
      <c r="K110" s="42"/>
      <c r="L110" s="42"/>
      <c r="M110" s="42"/>
      <c r="N110" s="42"/>
      <c r="O110" s="42"/>
      <c r="P110" s="42">
        <v>0</v>
      </c>
    </row>
    <row r="111" spans="8:16" x14ac:dyDescent="0.2">
      <c r="H111" s="41" t="s">
        <v>31</v>
      </c>
      <c r="I111" s="42"/>
      <c r="J111" s="42"/>
      <c r="K111" s="42"/>
      <c r="L111" s="42"/>
      <c r="M111" s="42">
        <v>5</v>
      </c>
      <c r="N111" s="42"/>
      <c r="O111" s="42"/>
      <c r="P111" s="42">
        <v>5</v>
      </c>
    </row>
    <row r="112" spans="8:16" x14ac:dyDescent="0.2">
      <c r="H112" s="41" t="s">
        <v>49</v>
      </c>
      <c r="I112" s="42">
        <v>1</v>
      </c>
      <c r="J112" s="42"/>
      <c r="K112" s="42"/>
      <c r="L112" s="42"/>
      <c r="M112" s="42"/>
      <c r="N112" s="42"/>
      <c r="O112" s="42"/>
      <c r="P112" s="42">
        <v>1</v>
      </c>
    </row>
    <row r="113" spans="8:16" x14ac:dyDescent="0.2">
      <c r="H113" s="41" t="s">
        <v>22</v>
      </c>
      <c r="I113" s="42"/>
      <c r="J113" s="42"/>
      <c r="K113" s="42"/>
      <c r="L113" s="42">
        <v>11</v>
      </c>
      <c r="M113" s="42"/>
      <c r="N113" s="42"/>
      <c r="O113" s="42"/>
      <c r="P113" s="42">
        <v>11</v>
      </c>
    </row>
    <row r="114" spans="8:16" x14ac:dyDescent="0.2">
      <c r="H114" s="41" t="s">
        <v>15</v>
      </c>
      <c r="I114" s="42"/>
      <c r="J114" s="42">
        <v>1</v>
      </c>
      <c r="K114" s="42"/>
      <c r="L114" s="42"/>
      <c r="M114" s="42"/>
      <c r="N114" s="42"/>
      <c r="O114" s="42"/>
      <c r="P114" s="42">
        <v>1</v>
      </c>
    </row>
    <row r="115" spans="8:16" x14ac:dyDescent="0.2">
      <c r="H115" s="41" t="s">
        <v>50</v>
      </c>
      <c r="I115" s="42"/>
      <c r="J115" s="42"/>
      <c r="K115" s="42">
        <v>4</v>
      </c>
      <c r="L115" s="42"/>
      <c r="M115" s="42"/>
      <c r="N115" s="42"/>
      <c r="O115" s="42"/>
      <c r="P115" s="42">
        <v>4</v>
      </c>
    </row>
    <row r="116" spans="8:16" x14ac:dyDescent="0.2">
      <c r="H116" s="41" t="s">
        <v>51</v>
      </c>
      <c r="I116" s="42"/>
      <c r="J116" s="42">
        <v>0</v>
      </c>
      <c r="K116" s="42"/>
      <c r="L116" s="42"/>
      <c r="M116" s="42"/>
      <c r="N116" s="42"/>
      <c r="O116" s="42"/>
      <c r="P116" s="42">
        <v>0</v>
      </c>
    </row>
    <row r="117" spans="8:16" x14ac:dyDescent="0.2">
      <c r="H117" s="41" t="s">
        <v>139</v>
      </c>
      <c r="I117" s="42">
        <v>56</v>
      </c>
      <c r="J117" s="42">
        <v>38</v>
      </c>
      <c r="K117" s="42">
        <v>32</v>
      </c>
      <c r="L117" s="42">
        <v>14</v>
      </c>
      <c r="M117" s="42">
        <v>72</v>
      </c>
      <c r="N117" s="42">
        <v>37</v>
      </c>
      <c r="O117" s="42">
        <v>17</v>
      </c>
      <c r="P117" s="42">
        <v>266</v>
      </c>
    </row>
    <row r="123" spans="8:16" x14ac:dyDescent="0.2">
      <c r="H123" t="s">
        <v>150</v>
      </c>
      <c r="I123">
        <f>+_xlfn.VAR.P(I27:I68)</f>
        <v>641285425.9375</v>
      </c>
      <c r="J123">
        <f t="shared" ref="J123:O123" si="19">+_xlfn.VAR.P(J27:J68)</f>
        <v>39267272.674556211</v>
      </c>
      <c r="K123">
        <f t="shared" si="19"/>
        <v>3342950</v>
      </c>
      <c r="L123">
        <f t="shared" si="19"/>
        <v>891810.88888888888</v>
      </c>
      <c r="M123">
        <f t="shared" si="19"/>
        <v>13279743.918367347</v>
      </c>
      <c r="N123">
        <f t="shared" si="19"/>
        <v>1023810.8</v>
      </c>
      <c r="O123">
        <f t="shared" si="19"/>
        <v>360156.22222222225</v>
      </c>
    </row>
    <row r="124" spans="8:16" x14ac:dyDescent="0.2">
      <c r="H124" t="s">
        <v>152</v>
      </c>
      <c r="I124">
        <f>+GETPIVOTDATA("Vivienda_ocupadas",$H$25,"Region","1 Centro")/GETPIVOTDATA("Vivienda_ocupadas",$H$25)*I123</f>
        <v>254186110.02390102</v>
      </c>
      <c r="J124">
        <f>+GETPIVOTDATA("Vivienda_ocupadas",$H$25,"Region","2 Norte")/GETPIVOTDATA("Vivienda_ocupadas",$H$25)*J123</f>
        <v>12292555.796141794</v>
      </c>
      <c r="K124">
        <f>+GETPIVOTDATA("Vivienda_ocupadas",$H$25,"Region","3 Oriente")/GETPIVOTDATA("Vivienda_ocupadas",$H$25)*K123</f>
        <v>178030.47271155243</v>
      </c>
      <c r="L124">
        <f>+GETPIVOTDATA("Vivienda_ocupadas",$H$25,"Region","4 Occidente")/GETPIVOTDATA("Vivienda_ocupadas",$H$25)*L123</f>
        <v>38624.051162232863</v>
      </c>
      <c r="M124">
        <f>+GETPIVOTDATA("Vivienda_ocupadas",$H$25,"Region","5 Sur")/GETPIVOTDATA("Vivienda_ocupadas",$H$25)*M123</f>
        <v>1595513.2479648462</v>
      </c>
      <c r="N124">
        <f>+GETPIVOTDATA("Vivienda_ocupadas",$H$25,"Region","6 Macizo")/GETPIVOTDATA("Vivienda_ocupadas",$H$25)*N123</f>
        <v>56967.609557550037</v>
      </c>
      <c r="O124">
        <f>+GETPIVOTDATA("Vivienda_ocupadas",$H$25,"Region","7 Bota caucana")/GETPIVOTDATA("Vivienda_ocupadas",$H$25)*O123</f>
        <v>6564.7995306538669</v>
      </c>
    </row>
    <row r="125" spans="8:16" x14ac:dyDescent="0.2">
      <c r="H125" t="s">
        <v>151</v>
      </c>
      <c r="I125" s="53">
        <f>+SUM(I124:O124)</f>
        <v>268354366.00096968</v>
      </c>
    </row>
    <row r="126" spans="8:16" x14ac:dyDescent="0.2">
      <c r="H126" t="s">
        <v>153</v>
      </c>
      <c r="I126">
        <f>+AVERAGE(I27:I68)</f>
        <v>18222.75</v>
      </c>
      <c r="J126">
        <f t="shared" ref="J126:O126" si="20">+AVERAGE(J27:J68)</f>
        <v>8856.6923076923085</v>
      </c>
      <c r="K126">
        <f t="shared" si="20"/>
        <v>6529</v>
      </c>
      <c r="L126">
        <f t="shared" si="20"/>
        <v>5309.666666666667</v>
      </c>
      <c r="M126">
        <f t="shared" si="20"/>
        <v>6312.7142857142853</v>
      </c>
      <c r="N126">
        <f t="shared" si="20"/>
        <v>4093</v>
      </c>
      <c r="O126">
        <f t="shared" si="20"/>
        <v>2234.6666666666665</v>
      </c>
    </row>
    <row r="128" spans="8:16" x14ac:dyDescent="0.2">
      <c r="H128" t="s">
        <v>154</v>
      </c>
      <c r="I128" s="27">
        <f>+AVERAGE(Consolidado!H2:H8)</f>
        <v>19498</v>
      </c>
    </row>
  </sheetData>
  <autoFilter ref="V25:AF67" xr:uid="{00000000-0001-0000-0200-000000000000}">
    <sortState xmlns:xlrd2="http://schemas.microsoft.com/office/spreadsheetml/2017/richdata2" ref="V26:AF68">
      <sortCondition ref="W25:W68"/>
    </sortState>
  </autoFilter>
  <mergeCells count="2">
    <mergeCell ref="H13:I13"/>
    <mergeCell ref="H24:P24"/>
  </mergeCells>
  <conditionalFormatting sqref="J5:J11">
    <cfRule type="expression" dxfId="5" priority="1" stopIfTrue="1">
      <formula>$A4&lt;&gt;$A5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5BFD-E2C7-C243-AC86-3BAB80EA3D0F}">
  <dimension ref="A1:P44"/>
  <sheetViews>
    <sheetView topLeftCell="B1" workbookViewId="0">
      <selection activeCell="I2" sqref="I2"/>
    </sheetView>
  </sheetViews>
  <sheetFormatPr baseColWidth="10" defaultRowHeight="16" x14ac:dyDescent="0.2"/>
  <cols>
    <col min="3" max="3" width="27.6640625" customWidth="1"/>
    <col min="4" max="4" width="31.83203125" customWidth="1"/>
    <col min="5" max="5" width="29.6640625" customWidth="1"/>
    <col min="7" max="7" width="12" bestFit="1" customWidth="1"/>
    <col min="10" max="10" width="15.6640625" customWidth="1"/>
    <col min="13" max="13" width="13.83203125" bestFit="1" customWidth="1"/>
    <col min="14" max="14" width="13.83203125" customWidth="1"/>
  </cols>
  <sheetData>
    <row r="1" spans="1:16" x14ac:dyDescent="0.2">
      <c r="A1" s="94" t="s">
        <v>138</v>
      </c>
      <c r="B1" s="94" t="s">
        <v>192</v>
      </c>
      <c r="C1" s="94" t="s">
        <v>41</v>
      </c>
      <c r="D1" s="95" t="s">
        <v>190</v>
      </c>
      <c r="E1" s="94" t="s">
        <v>146</v>
      </c>
      <c r="F1" s="96" t="s">
        <v>193</v>
      </c>
      <c r="G1" s="96" t="s">
        <v>194</v>
      </c>
      <c r="H1" s="94" t="s">
        <v>191</v>
      </c>
      <c r="I1" s="94" t="s">
        <v>195</v>
      </c>
      <c r="J1" s="94" t="s">
        <v>203</v>
      </c>
      <c r="K1" s="94" t="s">
        <v>196</v>
      </c>
      <c r="L1" s="89" t="s">
        <v>198</v>
      </c>
      <c r="M1" s="101" t="s">
        <v>199</v>
      </c>
      <c r="N1" s="101" t="s">
        <v>198</v>
      </c>
      <c r="O1" s="94" t="s">
        <v>197</v>
      </c>
    </row>
    <row r="2" spans="1:16" x14ac:dyDescent="0.2">
      <c r="A2" s="97">
        <v>19001</v>
      </c>
      <c r="B2" s="97" t="s">
        <v>0</v>
      </c>
      <c r="C2" s="97" t="str">
        <f>+VLOOKUP(A2,Consolidado!$B$2:$N$43,4,FALSE)</f>
        <v>Popayán</v>
      </c>
      <c r="D2" s="98">
        <v>19818</v>
      </c>
      <c r="E2" s="97">
        <v>109402</v>
      </c>
      <c r="F2" s="99">
        <v>7.1999999999999995E-2</v>
      </c>
      <c r="G2" s="99">
        <v>0.23899999999999999</v>
      </c>
      <c r="H2" s="99">
        <v>0.23400000000000001</v>
      </c>
      <c r="I2" s="99">
        <f>+VLOOKUP(A2,Calculos!$V$26:$AG$67,8,FALSE)</f>
        <v>0.23141076897207535</v>
      </c>
      <c r="J2" s="107">
        <f>+VLOOKUP(A2,Calculos!$V$26:$AF$67,9,FALSE)</f>
        <v>0.96677826351468799</v>
      </c>
      <c r="K2" s="98">
        <f>1/(H2*I2*J2)</f>
        <v>19.101773877597076</v>
      </c>
      <c r="L2" s="89">
        <v>137.76686766318025</v>
      </c>
      <c r="M2" s="101">
        <f t="shared" ref="M2:M43" si="0">+K2*L2</f>
        <v>2631.5915539269099</v>
      </c>
      <c r="N2" s="101">
        <f>+F2*H2*I2*$P$2</f>
        <v>7.7447884142701069</v>
      </c>
      <c r="O2" s="100">
        <v>2091</v>
      </c>
      <c r="P2" s="27">
        <f>+O2*0.95</f>
        <v>1986.4499999999998</v>
      </c>
    </row>
    <row r="3" spans="1:16" x14ac:dyDescent="0.2">
      <c r="A3" s="97">
        <v>19130</v>
      </c>
      <c r="B3" s="97" t="s">
        <v>0</v>
      </c>
      <c r="C3" s="97" t="str">
        <f>+VLOOKUP(A3,Consolidado!$B$2:$N$43,4,FALSE)</f>
        <v>Cajibío</v>
      </c>
      <c r="D3" s="98">
        <v>11643</v>
      </c>
      <c r="E3" s="97">
        <v>12216</v>
      </c>
      <c r="F3" s="99">
        <v>4.2000000000000003E-2</v>
      </c>
      <c r="G3" s="99">
        <v>2.7E-2</v>
      </c>
      <c r="H3" s="99">
        <v>0.13800000000000001</v>
      </c>
      <c r="I3" s="99">
        <f>+VLOOKUP(A3,Calculos!$V$26:$AG$67,8,FALSE)</f>
        <v>0.13594714006063957</v>
      </c>
      <c r="J3" s="107">
        <f>+VLOOKUP(A3,Calculos!$V$26:$AF$67,9,FALSE)</f>
        <v>0.88703134268132744</v>
      </c>
      <c r="K3" s="98">
        <f t="shared" ref="K3:K43" si="1">1/(H3*I3*J3)</f>
        <v>60.091337738241123</v>
      </c>
      <c r="L3" s="90">
        <v>76.019967827648614</v>
      </c>
      <c r="M3" s="101">
        <f t="shared" si="0"/>
        <v>4568.1415615814576</v>
      </c>
      <c r="N3" s="101">
        <f t="shared" ref="N3:N43" si="2">+F3*H3*I3*$P$2</f>
        <v>1.5652225301805596</v>
      </c>
    </row>
    <row r="4" spans="1:16" x14ac:dyDescent="0.2">
      <c r="A4" s="97">
        <v>19256</v>
      </c>
      <c r="B4" s="97" t="s">
        <v>0</v>
      </c>
      <c r="C4" s="97" t="str">
        <f>+VLOOKUP(A4,Consolidado!$B$2:$N$43,4,FALSE)</f>
        <v>El Tambo</v>
      </c>
      <c r="D4" s="98">
        <v>15761</v>
      </c>
      <c r="E4" s="97">
        <v>16847</v>
      </c>
      <c r="F4" s="99">
        <v>5.7000000000000002E-2</v>
      </c>
      <c r="G4" s="99">
        <v>3.6999999999999998E-2</v>
      </c>
      <c r="H4" s="99">
        <v>0.186</v>
      </c>
      <c r="I4" s="99">
        <f>+VLOOKUP(A4,Calculos!$V$26:$AG$67,8,FALSE)</f>
        <v>0.19627696164404557</v>
      </c>
      <c r="J4" s="107">
        <f>+VLOOKUP(A4,Calculos!$V$26:$AF$67,9,FALSE)</f>
        <v>0.83594277452714649</v>
      </c>
      <c r="K4" s="98">
        <f t="shared" si="1"/>
        <v>32.767339508544964</v>
      </c>
      <c r="L4" s="90">
        <v>142.1855502211304</v>
      </c>
      <c r="M4" s="101">
        <f t="shared" si="0"/>
        <v>4659.0421973050506</v>
      </c>
      <c r="N4" s="101">
        <f t="shared" si="2"/>
        <v>4.1336601155937478</v>
      </c>
    </row>
    <row r="5" spans="1:16" x14ac:dyDescent="0.2">
      <c r="A5" s="97">
        <v>19473</v>
      </c>
      <c r="B5" s="97" t="s">
        <v>0</v>
      </c>
      <c r="C5" s="97" t="str">
        <f>+VLOOKUP(A5,Consolidado!$B$2:$N$43,4,FALSE)</f>
        <v>Morales</v>
      </c>
      <c r="D5" s="98">
        <v>10390</v>
      </c>
      <c r="E5" s="97">
        <v>11238</v>
      </c>
      <c r="F5" s="99">
        <v>3.7999999999999999E-2</v>
      </c>
      <c r="G5" s="99">
        <v>2.5000000000000001E-2</v>
      </c>
      <c r="H5" s="99">
        <v>0.123</v>
      </c>
      <c r="I5" s="99">
        <f>+VLOOKUP(A5,Calculos!$V$26:$AG$67,8,FALSE)</f>
        <v>0.12132529516769307</v>
      </c>
      <c r="J5" s="107">
        <f>+VLOOKUP(A5,Calculos!$V$26:$AF$67,9,FALSE)</f>
        <v>0.81646577484364147</v>
      </c>
      <c r="K5" s="98">
        <f t="shared" si="1"/>
        <v>82.073990106773209</v>
      </c>
      <c r="L5" s="90">
        <v>130.41846710588834</v>
      </c>
      <c r="M5" s="101">
        <f t="shared" si="0"/>
        <v>10703.963978989206</v>
      </c>
      <c r="N5" s="101">
        <f t="shared" si="2"/>
        <v>1.1264650007063277</v>
      </c>
    </row>
    <row r="6" spans="1:16" x14ac:dyDescent="0.2">
      <c r="A6" s="97">
        <v>19548</v>
      </c>
      <c r="B6" s="97" t="s">
        <v>0</v>
      </c>
      <c r="C6" s="97" t="str">
        <f>+VLOOKUP(A6,Consolidado!$B$2:$N$43,4,FALSE)</f>
        <v>Piendamó</v>
      </c>
      <c r="D6" s="98">
        <v>8016</v>
      </c>
      <c r="E6" s="97">
        <v>11998</v>
      </c>
      <c r="F6" s="99">
        <v>2.9000000000000001E-2</v>
      </c>
      <c r="G6" s="99">
        <v>2.5999999999999999E-2</v>
      </c>
      <c r="H6" s="99">
        <v>9.5000000000000001E-2</v>
      </c>
      <c r="I6" s="99">
        <f>+VLOOKUP(A6,Calculos!$V$26:$AG$67,8,FALSE)</f>
        <v>9.3601873063562144E-2</v>
      </c>
      <c r="J6" s="107">
        <f>+VLOOKUP(A6,Calculos!$V$26:$AF$67,9,FALSE)</f>
        <v>0.91945696552702505</v>
      </c>
      <c r="K6" s="98">
        <f t="shared" si="1"/>
        <v>122.30957244024395</v>
      </c>
      <c r="L6" s="90">
        <v>36.282061888253722</v>
      </c>
      <c r="M6" s="101">
        <f t="shared" si="0"/>
        <v>4437.643476802783</v>
      </c>
      <c r="N6" s="101">
        <f t="shared" si="2"/>
        <v>0.51225213925829627</v>
      </c>
    </row>
    <row r="7" spans="1:16" x14ac:dyDescent="0.2">
      <c r="A7" s="97">
        <v>19585</v>
      </c>
      <c r="B7" s="97" t="s">
        <v>0</v>
      </c>
      <c r="C7" s="97" t="str">
        <f>+VLOOKUP(A7,Consolidado!$B$2:$N$43,4,FALSE)</f>
        <v>Puracé</v>
      </c>
      <c r="D7" s="98">
        <v>3677</v>
      </c>
      <c r="E7" s="97">
        <v>4211</v>
      </c>
      <c r="F7" s="99">
        <v>1.2999999999999999E-2</v>
      </c>
      <c r="G7" s="99">
        <v>8.9999999999999993E-3</v>
      </c>
      <c r="H7" s="99">
        <v>4.2999999999999997E-2</v>
      </c>
      <c r="I7" s="99">
        <f>+VLOOKUP(A7,Calculos!$V$26:$AG$67,8,FALSE)</f>
        <v>4.2930840543600829E-2</v>
      </c>
      <c r="J7" s="107">
        <f>+VLOOKUP(A7,Calculos!$V$26:$AF$67,9,FALSE)</f>
        <v>0.84319525801952588</v>
      </c>
      <c r="K7" s="98">
        <f t="shared" si="1"/>
        <v>642.44210632902639</v>
      </c>
      <c r="L7" s="90">
        <v>14.832687575192443</v>
      </c>
      <c r="M7" s="101">
        <f t="shared" si="0"/>
        <v>9529.1430483270124</v>
      </c>
      <c r="N7" s="101">
        <f t="shared" si="2"/>
        <v>4.7671502222590242E-2</v>
      </c>
    </row>
    <row r="8" spans="1:16" x14ac:dyDescent="0.2">
      <c r="A8" s="97">
        <v>19743</v>
      </c>
      <c r="B8" s="97" t="s">
        <v>0</v>
      </c>
      <c r="C8" s="97" t="str">
        <f>+VLOOKUP(A8,Consolidado!$B$2:$N$43,4,FALSE)</f>
        <v>Silvia</v>
      </c>
      <c r="D8" s="98">
        <v>7960</v>
      </c>
      <c r="E8" s="97">
        <v>9870</v>
      </c>
      <c r="F8" s="99">
        <v>2.9000000000000001E-2</v>
      </c>
      <c r="G8" s="99">
        <v>2.1999999999999999E-2</v>
      </c>
      <c r="H8" s="99">
        <v>9.4E-2</v>
      </c>
      <c r="I8" s="99">
        <f>+VLOOKUP(A8,Calculos!$V$26:$AG$67,8,FALSE)</f>
        <v>9.2942340477234056E-2</v>
      </c>
      <c r="J8" s="107">
        <f>+VLOOKUP(A8,Calculos!$V$26:$AF$67,9,FALSE)</f>
        <v>0.80585762550559092</v>
      </c>
      <c r="K8" s="98">
        <f t="shared" si="1"/>
        <v>142.0365849709134</v>
      </c>
      <c r="L8" s="90">
        <v>50.293073583757369</v>
      </c>
      <c r="M8" s="101">
        <f t="shared" si="0"/>
        <v>7143.4564195277535</v>
      </c>
      <c r="N8" s="101">
        <f t="shared" si="2"/>
        <v>0.50328860116897023</v>
      </c>
    </row>
    <row r="9" spans="1:16" x14ac:dyDescent="0.2">
      <c r="A9" s="97">
        <v>19807</v>
      </c>
      <c r="B9" s="97" t="s">
        <v>0</v>
      </c>
      <c r="C9" s="97" t="str">
        <f>+VLOOKUP(A9,Consolidado!$B$2:$N$43,4,FALSE)</f>
        <v>Timbio</v>
      </c>
      <c r="D9" s="98">
        <v>7328</v>
      </c>
      <c r="E9" s="97">
        <v>11607</v>
      </c>
      <c r="F9" s="99">
        <v>2.7E-2</v>
      </c>
      <c r="G9" s="99">
        <v>2.5000000000000001E-2</v>
      </c>
      <c r="H9" s="99">
        <v>8.6999999999999994E-2</v>
      </c>
      <c r="I9" s="99">
        <f>+VLOOKUP(A9,Calculos!$V$26:$AG$67,8,FALSE)</f>
        <v>8.5564780071149427E-2</v>
      </c>
      <c r="J9" s="107">
        <f>+VLOOKUP(A9,Calculos!$V$26:$AF$67,9,FALSE)</f>
        <v>0.9541280149607736</v>
      </c>
      <c r="K9" s="98">
        <f t="shared" si="1"/>
        <v>140.7923510815059</v>
      </c>
      <c r="L9" s="90">
        <v>24.051864956149021</v>
      </c>
      <c r="M9" s="101">
        <f t="shared" si="0"/>
        <v>3386.3186150711017</v>
      </c>
      <c r="N9" s="101">
        <f t="shared" si="2"/>
        <v>0.39925989966761438</v>
      </c>
    </row>
    <row r="10" spans="1:16" x14ac:dyDescent="0.2">
      <c r="A10" s="97">
        <v>19110</v>
      </c>
      <c r="B10" s="97" t="s">
        <v>8</v>
      </c>
      <c r="C10" s="97" t="str">
        <f>+VLOOKUP(A10,Consolidado!$B$2:$N$43,4,FALSE)</f>
        <v>Buenos Aires</v>
      </c>
      <c r="D10" s="98">
        <v>9209</v>
      </c>
      <c r="E10" s="97">
        <v>9461</v>
      </c>
      <c r="F10" s="99">
        <v>3.3000000000000002E-2</v>
      </c>
      <c r="G10" s="99">
        <v>2.1000000000000001E-2</v>
      </c>
      <c r="H10" s="99">
        <v>0.113</v>
      </c>
      <c r="I10" s="99">
        <f>+VLOOKUP(A10,Calculos!$V$26:$AG$67,8,FALSE)</f>
        <v>0.11349565206526953</v>
      </c>
      <c r="J10" s="107">
        <f>+VLOOKUP(A10,Calculos!$V$26:$AF$67,9,FALSE)</f>
        <v>0.84350099138631551</v>
      </c>
      <c r="K10" s="98">
        <f t="shared" si="1"/>
        <v>92.439318453968468</v>
      </c>
      <c r="L10" s="90">
        <v>75.091747879515154</v>
      </c>
      <c r="M10" s="101">
        <f t="shared" si="0"/>
        <v>6941.4299954996131</v>
      </c>
      <c r="N10" s="101">
        <f t="shared" si="2"/>
        <v>0.84071587047000873</v>
      </c>
    </row>
    <row r="11" spans="1:16" x14ac:dyDescent="0.2">
      <c r="A11" s="97">
        <v>19137</v>
      </c>
      <c r="B11" s="97" t="s">
        <v>8</v>
      </c>
      <c r="C11" s="97" t="str">
        <f>+VLOOKUP(A11,Consolidado!$B$2:$N$43,4,FALSE)</f>
        <v>Caldono</v>
      </c>
      <c r="D11" s="98">
        <v>10205</v>
      </c>
      <c r="E11" s="97">
        <v>10382</v>
      </c>
      <c r="F11" s="99">
        <v>3.6999999999999998E-2</v>
      </c>
      <c r="G11" s="99">
        <v>2.3E-2</v>
      </c>
      <c r="H11" s="99">
        <v>0.126</v>
      </c>
      <c r="I11" s="99">
        <f>+VLOOKUP(A11,Calculos!$V$26:$AG$67,8,FALSE)</f>
        <v>0.12577663082956536</v>
      </c>
      <c r="J11" s="107">
        <f>+VLOOKUP(A11,Calculos!$V$26:$AF$67,9,FALSE)</f>
        <v>0.82325752596989599</v>
      </c>
      <c r="K11" s="98">
        <f t="shared" si="1"/>
        <v>76.64675770795597</v>
      </c>
      <c r="L11" s="90">
        <v>51.34497016438165</v>
      </c>
      <c r="M11" s="101">
        <f t="shared" si="0"/>
        <v>3935.4254877115886</v>
      </c>
      <c r="N11" s="101">
        <f t="shared" si="2"/>
        <v>1.1647959835077004</v>
      </c>
    </row>
    <row r="12" spans="1:16" x14ac:dyDescent="0.2">
      <c r="A12" s="97">
        <v>19142</v>
      </c>
      <c r="B12" s="97" t="s">
        <v>8</v>
      </c>
      <c r="C12" s="97" t="str">
        <f>+VLOOKUP(A12,Consolidado!$B$2:$N$43,4,FALSE)</f>
        <v>Caloto</v>
      </c>
      <c r="D12" s="98">
        <v>6459</v>
      </c>
      <c r="E12" s="97">
        <v>8559</v>
      </c>
      <c r="F12" s="99">
        <v>2.3E-2</v>
      </c>
      <c r="G12" s="99">
        <v>1.9E-2</v>
      </c>
      <c r="H12" s="99">
        <v>0.08</v>
      </c>
      <c r="I12" s="99">
        <f>+VLOOKUP(A12,Calculos!$V$26:$AG$67,8,FALSE)</f>
        <v>7.960916679815673E-2</v>
      </c>
      <c r="J12" s="107">
        <f>+VLOOKUP(A12,Calculos!$V$26:$AF$67,9,FALSE)</f>
        <v>0.88711957295373645</v>
      </c>
      <c r="K12" s="98">
        <f t="shared" si="1"/>
        <v>176.99653852240021</v>
      </c>
      <c r="L12" s="90">
        <v>35.378600334314569</v>
      </c>
      <c r="M12" s="101">
        <f t="shared" si="0"/>
        <v>6261.88979694111</v>
      </c>
      <c r="N12" s="101">
        <f t="shared" si="2"/>
        <v>0.29097691807060511</v>
      </c>
    </row>
    <row r="13" spans="1:16" x14ac:dyDescent="0.2">
      <c r="A13" s="97">
        <v>19212</v>
      </c>
      <c r="B13" s="97" t="s">
        <v>8</v>
      </c>
      <c r="C13" s="97" t="str">
        <f>+VLOOKUP(A13,Consolidado!$B$2:$N$43,4,FALSE)</f>
        <v>Corinto</v>
      </c>
      <c r="D13" s="98">
        <v>4369</v>
      </c>
      <c r="E13" s="97">
        <v>9098</v>
      </c>
      <c r="F13" s="99">
        <v>1.6E-2</v>
      </c>
      <c r="G13" s="99">
        <v>0.02</v>
      </c>
      <c r="H13" s="99">
        <v>5.3999999999999999E-2</v>
      </c>
      <c r="I13" s="99">
        <f>+VLOOKUP(A13,Calculos!$V$26:$AG$67,8,FALSE)</f>
        <v>5.3840258455106808E-2</v>
      </c>
      <c r="J13" s="107">
        <f>+VLOOKUP(A13,Calculos!$V$26:$AF$67,9,FALSE)</f>
        <v>0.88938051509394145</v>
      </c>
      <c r="K13" s="98">
        <f t="shared" si="1"/>
        <v>386.73323291796021</v>
      </c>
      <c r="L13" s="90">
        <v>15.575361395206505</v>
      </c>
      <c r="M13" s="101">
        <f t="shared" si="0"/>
        <v>6023.5098662338032</v>
      </c>
      <c r="N13" s="101">
        <f t="shared" si="2"/>
        <v>9.2405647936638927E-2</v>
      </c>
    </row>
    <row r="14" spans="1:16" x14ac:dyDescent="0.2">
      <c r="A14" s="97">
        <v>19300</v>
      </c>
      <c r="B14" s="97" t="s">
        <v>8</v>
      </c>
      <c r="C14" s="97" t="str">
        <f>+VLOOKUP(A14,Consolidado!$B$2:$N$43,4,FALSE)</f>
        <v>Guachene</v>
      </c>
      <c r="D14" s="98">
        <v>4267</v>
      </c>
      <c r="E14" s="97">
        <v>6135</v>
      </c>
      <c r="F14" s="99">
        <v>1.4999999999999999E-2</v>
      </c>
      <c r="G14" s="99">
        <v>1.2999999999999999E-2</v>
      </c>
      <c r="H14" s="99">
        <v>5.2999999999999999E-2</v>
      </c>
      <c r="I14" s="99">
        <f>+VLOOKUP(A14,Calculos!$V$26:$AG$67,8,FALSE)</f>
        <v>5.258714021225714E-2</v>
      </c>
      <c r="J14" s="107">
        <f>+VLOOKUP(A14,Calculos!$V$26:$AF$67,9,FALSE)</f>
        <v>0.97857163461538454</v>
      </c>
      <c r="K14" s="98">
        <f t="shared" si="1"/>
        <v>366.65022325379516</v>
      </c>
      <c r="L14" s="90">
        <v>2.7212694556254053</v>
      </c>
      <c r="M14" s="101">
        <f t="shared" si="0"/>
        <v>997.75405343878845</v>
      </c>
      <c r="N14" s="101">
        <f t="shared" si="2"/>
        <v>8.3047071116337357E-2</v>
      </c>
    </row>
    <row r="15" spans="1:16" x14ac:dyDescent="0.2">
      <c r="A15" s="97">
        <v>19364</v>
      </c>
      <c r="B15" s="97" t="s">
        <v>8</v>
      </c>
      <c r="C15" s="97" t="str">
        <f>+VLOOKUP(A15,Consolidado!$B$2:$N$43,4,FALSE)</f>
        <v>Jambaló</v>
      </c>
      <c r="D15" s="98">
        <v>3670</v>
      </c>
      <c r="E15" s="97">
        <v>3993</v>
      </c>
      <c r="F15" s="99">
        <v>1.2999999999999999E-2</v>
      </c>
      <c r="G15" s="99">
        <v>8.9999999999999993E-3</v>
      </c>
      <c r="H15" s="99">
        <v>4.4999999999999998E-2</v>
      </c>
      <c r="I15" s="99">
        <f>+VLOOKUP(A15,Calculos!$V$26:$AG$67,8,FALSE)</f>
        <v>4.5233815613300588E-2</v>
      </c>
      <c r="J15" s="107">
        <f>+VLOOKUP(A15,Calculos!$V$26:$AF$67,9,FALSE)</f>
        <v>0.75041156267887799</v>
      </c>
      <c r="K15" s="98">
        <f t="shared" si="1"/>
        <v>654.67347556633933</v>
      </c>
      <c r="L15" s="90">
        <v>29.208780132671368</v>
      </c>
      <c r="M15" s="101">
        <f t="shared" si="0"/>
        <v>19122.213606509005</v>
      </c>
      <c r="N15" s="101">
        <f t="shared" si="2"/>
        <v>5.2565007119648947E-2</v>
      </c>
    </row>
    <row r="16" spans="1:16" x14ac:dyDescent="0.2">
      <c r="A16" s="97">
        <v>19455</v>
      </c>
      <c r="B16" s="97" t="s">
        <v>8</v>
      </c>
      <c r="C16" s="97" t="str">
        <f>+VLOOKUP(A16,Consolidado!$B$2:$N$43,4,FALSE)</f>
        <v>Miranda</v>
      </c>
      <c r="D16" s="98">
        <v>4254</v>
      </c>
      <c r="E16" s="97">
        <v>10360</v>
      </c>
      <c r="F16" s="99">
        <v>1.4999999999999999E-2</v>
      </c>
      <c r="G16" s="99">
        <v>2.3E-2</v>
      </c>
      <c r="H16" s="99">
        <v>5.1999999999999998E-2</v>
      </c>
      <c r="I16" s="99">
        <f>+VLOOKUP(A16,Calculos!$V$26:$AG$67,8,FALSE)</f>
        <v>5.2434233760820785E-2</v>
      </c>
      <c r="J16" s="107">
        <f>+VLOOKUP(A16,Calculos!$V$26:$AF$67,9,FALSE)</f>
        <v>0.92237318982387495</v>
      </c>
      <c r="K16" s="98">
        <f t="shared" si="1"/>
        <v>397.62626102211749</v>
      </c>
      <c r="L16" s="90">
        <v>13.270112581204627</v>
      </c>
      <c r="M16" s="101">
        <f t="shared" si="0"/>
        <v>5276.5452490069565</v>
      </c>
      <c r="N16" s="101">
        <f t="shared" si="2"/>
        <v>8.1243227250262298E-2</v>
      </c>
    </row>
    <row r="17" spans="1:14" x14ac:dyDescent="0.2">
      <c r="A17" s="97">
        <v>19513</v>
      </c>
      <c r="B17" s="97" t="s">
        <v>8</v>
      </c>
      <c r="C17" s="97" t="str">
        <f>+VLOOKUP(A17,Consolidado!$B$2:$N$43,4,FALSE)</f>
        <v>Padilla</v>
      </c>
      <c r="D17" s="98">
        <v>1721</v>
      </c>
      <c r="E17" s="97">
        <v>3336</v>
      </c>
      <c r="F17" s="99">
        <v>6.0000000000000001E-3</v>
      </c>
      <c r="G17" s="99">
        <v>7.0000000000000001E-3</v>
      </c>
      <c r="H17" s="99">
        <v>2.1000000000000001E-2</v>
      </c>
      <c r="I17" s="99">
        <f>+VLOOKUP(A17,Calculos!$V$26:$AG$67,8,FALSE)</f>
        <v>2.1205003367097085E-2</v>
      </c>
      <c r="J17" s="107">
        <f>+VLOOKUP(A17,Calculos!$V$26:$AF$67,9,FALSE)</f>
        <v>0.90959444444444448</v>
      </c>
      <c r="K17" s="98">
        <f t="shared" si="1"/>
        <v>2468.8491818812772</v>
      </c>
      <c r="L17" s="90">
        <v>1.8481686368258938</v>
      </c>
      <c r="M17" s="101">
        <f t="shared" si="0"/>
        <v>4562.8496270062433</v>
      </c>
      <c r="N17" s="101">
        <f t="shared" si="2"/>
        <v>5.3074575462598202E-3</v>
      </c>
    </row>
    <row r="18" spans="1:14" x14ac:dyDescent="0.2">
      <c r="A18" s="97">
        <v>19573</v>
      </c>
      <c r="B18" s="97" t="s">
        <v>8</v>
      </c>
      <c r="C18" s="97" t="str">
        <f>+VLOOKUP(A18,Consolidado!$B$2:$N$43,4,FALSE)</f>
        <v>Puerto Tejada</v>
      </c>
      <c r="D18" s="98">
        <v>2144</v>
      </c>
      <c r="E18" s="97">
        <v>13907</v>
      </c>
      <c r="F18" s="99">
        <v>8.0000000000000002E-3</v>
      </c>
      <c r="G18" s="99">
        <v>0.03</v>
      </c>
      <c r="H18" s="99">
        <v>2.5999999999999999E-2</v>
      </c>
      <c r="I18" s="99">
        <f>+VLOOKUP(A18,Calculos!$V$26:$AG$67,8,FALSE)</f>
        <v>2.64191393857247E-2</v>
      </c>
      <c r="J18" s="107">
        <f>+VLOOKUP(A18,Calculos!$V$26:$AF$67,9,FALSE)</f>
        <v>0.99704999999999999</v>
      </c>
      <c r="K18" s="98">
        <f t="shared" si="1"/>
        <v>1460.1283992885369</v>
      </c>
      <c r="L18" s="90">
        <v>6.6895587793778502</v>
      </c>
      <c r="M18" s="101">
        <f t="shared" si="0"/>
        <v>9767.6147524795597</v>
      </c>
      <c r="N18" s="101">
        <f t="shared" si="2"/>
        <v>1.0915902282016747E-2</v>
      </c>
    </row>
    <row r="19" spans="1:14" x14ac:dyDescent="0.2">
      <c r="A19" s="97">
        <v>19698</v>
      </c>
      <c r="B19" s="97" t="s">
        <v>8</v>
      </c>
      <c r="C19" s="97" t="str">
        <f>+VLOOKUP(A19,Consolidado!$B$2:$N$43,4,FALSE)</f>
        <v>Santander de Quilichao</v>
      </c>
      <c r="D19" s="98">
        <v>16790</v>
      </c>
      <c r="E19" s="97">
        <v>35751</v>
      </c>
      <c r="F19" s="99">
        <v>6.0999999999999999E-2</v>
      </c>
      <c r="G19" s="99">
        <v>7.8E-2</v>
      </c>
      <c r="H19" s="99">
        <v>0.20699999999999999</v>
      </c>
      <c r="I19" s="99">
        <f>+VLOOKUP(A19,Calculos!$V$26:$AG$67,8,FALSE)</f>
        <v>0.20692333110914082</v>
      </c>
      <c r="J19" s="107">
        <f>+VLOOKUP(A19,Calculos!$V$26:$AF$67,9,FALSE)</f>
        <v>0.92563371517522153</v>
      </c>
      <c r="K19" s="98">
        <f t="shared" si="1"/>
        <v>25.222087524988446</v>
      </c>
      <c r="L19" s="90">
        <v>69.23428119729013</v>
      </c>
      <c r="M19" s="101">
        <f t="shared" si="0"/>
        <v>1746.2331000877134</v>
      </c>
      <c r="N19" s="101">
        <f t="shared" si="2"/>
        <v>5.1902380806092925</v>
      </c>
    </row>
    <row r="20" spans="1:14" x14ac:dyDescent="0.2">
      <c r="A20" s="97">
        <v>19780</v>
      </c>
      <c r="B20" s="97" t="s">
        <v>8</v>
      </c>
      <c r="C20" s="97" t="str">
        <f>+VLOOKUP(A20,Consolidado!$B$2:$N$43,4,FALSE)</f>
        <v>Suárez</v>
      </c>
      <c r="D20" s="98">
        <v>7633</v>
      </c>
      <c r="E20" s="97">
        <v>9576</v>
      </c>
      <c r="F20" s="99">
        <v>2.8000000000000001E-2</v>
      </c>
      <c r="G20" s="99">
        <v>2.1000000000000001E-2</v>
      </c>
      <c r="H20" s="99">
        <v>9.4E-2</v>
      </c>
      <c r="I20" s="99">
        <f>+VLOOKUP(A20,Calculos!$V$26:$AG$67,8,FALSE)</f>
        <v>9.4076882406246259E-2</v>
      </c>
      <c r="J20" s="107">
        <f>+VLOOKUP(A20,Calculos!$V$26:$AF$67,9,FALSE)</f>
        <v>0.88518596185159348</v>
      </c>
      <c r="K20" s="98">
        <f t="shared" si="1"/>
        <v>127.74817706644487</v>
      </c>
      <c r="L20" s="90">
        <v>43.151536326826374</v>
      </c>
      <c r="M20" s="101">
        <f t="shared" si="0"/>
        <v>5512.5301033685437</v>
      </c>
      <c r="N20" s="101">
        <f t="shared" si="2"/>
        <v>0.49186558868309688</v>
      </c>
    </row>
    <row r="21" spans="1:14" x14ac:dyDescent="0.2">
      <c r="A21" s="97">
        <v>19821</v>
      </c>
      <c r="B21" s="97" t="s">
        <v>8</v>
      </c>
      <c r="C21" s="97" t="str">
        <f>+VLOOKUP(A21,Consolidado!$B$2:$N$43,4,FALSE)</f>
        <v>Toribio</v>
      </c>
      <c r="D21" s="98">
        <v>8462</v>
      </c>
      <c r="E21" s="97">
        <v>8866</v>
      </c>
      <c r="F21" s="99">
        <v>3.1E-2</v>
      </c>
      <c r="G21" s="99">
        <v>1.9E-2</v>
      </c>
      <c r="H21" s="99">
        <v>0.104</v>
      </c>
      <c r="I21" s="99">
        <f>+VLOOKUP(A21,Calculos!$V$26:$AG$67,8,FALSE)</f>
        <v>0.10428686320454003</v>
      </c>
      <c r="J21" s="107">
        <f>+VLOOKUP(A21,Calculos!$V$26:$AF$67,9,FALSE)</f>
        <v>0.91460095693779897</v>
      </c>
      <c r="K21" s="98">
        <f t="shared" si="1"/>
        <v>100.81041545584787</v>
      </c>
      <c r="L21" s="90">
        <v>20.849995009922107</v>
      </c>
      <c r="M21" s="101">
        <f t="shared" si="0"/>
        <v>2101.8966592026027</v>
      </c>
      <c r="N21" s="101">
        <f t="shared" si="2"/>
        <v>0.66788590146641102</v>
      </c>
    </row>
    <row r="22" spans="1:14" x14ac:dyDescent="0.2">
      <c r="A22" s="97">
        <v>19845</v>
      </c>
      <c r="B22" s="97" t="s">
        <v>8</v>
      </c>
      <c r="C22" s="97" t="str">
        <f>+VLOOKUP(A22,Consolidado!$B$2:$N$43,4,FALSE)</f>
        <v>Villa Rica</v>
      </c>
      <c r="D22" s="98">
        <v>1956</v>
      </c>
      <c r="E22" s="97">
        <v>7201</v>
      </c>
      <c r="F22" s="99">
        <v>7.0000000000000001E-3</v>
      </c>
      <c r="G22" s="99">
        <v>1.6E-2</v>
      </c>
      <c r="H22" s="99">
        <v>2.4E-2</v>
      </c>
      <c r="I22" s="99">
        <f>+VLOOKUP(A22,Calculos!$V$26:$AG$67,8,FALSE)</f>
        <v>2.4111882792774129E-2</v>
      </c>
      <c r="J22" s="107">
        <f>+VLOOKUP(A22,Calculos!$V$26:$AF$67,9,FALSE)</f>
        <v>0.98649999999999993</v>
      </c>
      <c r="K22" s="98">
        <f t="shared" si="1"/>
        <v>1751.70328664045</v>
      </c>
      <c r="L22" s="90">
        <v>4.878903542918593</v>
      </c>
      <c r="M22" s="101">
        <f t="shared" si="0"/>
        <v>8546.3913713322345</v>
      </c>
      <c r="N22" s="101">
        <f t="shared" si="2"/>
        <v>8.0467043283826371E-3</v>
      </c>
    </row>
    <row r="23" spans="1:14" x14ac:dyDescent="0.2">
      <c r="A23" s="97">
        <v>19355</v>
      </c>
      <c r="B23" s="97" t="s">
        <v>17</v>
      </c>
      <c r="C23" s="97" t="str">
        <f>+VLOOKUP(A23,Consolidado!$B$2:$N$43,4,FALSE)</f>
        <v>Inza</v>
      </c>
      <c r="D23" s="98">
        <v>7560</v>
      </c>
      <c r="E23" s="97">
        <v>7890</v>
      </c>
      <c r="F23" s="99">
        <v>2.7E-2</v>
      </c>
      <c r="G23" s="99">
        <v>1.7000000000000001E-2</v>
      </c>
      <c r="H23" s="99">
        <v>0.35099999999999998</v>
      </c>
      <c r="I23" s="99">
        <f>+VLOOKUP(A23,Calculos!$V$26:$AG$67,8,FALSE)</f>
        <v>0.35060077963470399</v>
      </c>
      <c r="J23" s="107">
        <f>+VLOOKUP(A23,Calculos!$V$26:$AF$67,9,FALSE)</f>
        <v>0.81625586854460108</v>
      </c>
      <c r="K23" s="98">
        <f t="shared" si="1"/>
        <v>9.9552848122252602</v>
      </c>
      <c r="L23" s="90">
        <v>42.21129816038885</v>
      </c>
      <c r="M23" s="101">
        <f t="shared" si="0"/>
        <v>420.22549548043116</v>
      </c>
      <c r="N23" s="101">
        <f t="shared" si="2"/>
        <v>6.6002653565706737</v>
      </c>
    </row>
    <row r="24" spans="1:14" x14ac:dyDescent="0.2">
      <c r="A24" s="97">
        <v>19517</v>
      </c>
      <c r="B24" s="97" t="s">
        <v>17</v>
      </c>
      <c r="C24" s="97" t="str">
        <f>+VLOOKUP(A24,Consolidado!$B$2:$N$43,4,FALSE)</f>
        <v>Páez</v>
      </c>
      <c r="D24" s="98">
        <v>8555</v>
      </c>
      <c r="E24" s="97">
        <v>9511</v>
      </c>
      <c r="F24" s="99">
        <v>3.1E-2</v>
      </c>
      <c r="G24" s="99">
        <v>2.1000000000000001E-2</v>
      </c>
      <c r="H24" s="99">
        <v>0.39700000000000002</v>
      </c>
      <c r="I24" s="99">
        <f>+VLOOKUP(A24,Calculos!$V$26:$AG$67,8,FALSE)</f>
        <v>0.39677694899333099</v>
      </c>
      <c r="J24" s="107">
        <f>+VLOOKUP(A24,Calculos!$V$26:$AF$67,9,FALSE)</f>
        <v>0.7025604851330205</v>
      </c>
      <c r="K24" s="98">
        <f t="shared" si="1"/>
        <v>9.03606486832029</v>
      </c>
      <c r="L24" s="90">
        <v>104.60291493048281</v>
      </c>
      <c r="M24" s="101">
        <f t="shared" si="0"/>
        <v>945.19872472723171</v>
      </c>
      <c r="N24" s="101">
        <f t="shared" si="2"/>
        <v>9.7001013580242628</v>
      </c>
    </row>
    <row r="25" spans="1:14" x14ac:dyDescent="0.2">
      <c r="A25" s="97">
        <v>19824</v>
      </c>
      <c r="B25" s="97" t="s">
        <v>17</v>
      </c>
      <c r="C25" s="97" t="str">
        <f>+VLOOKUP(A25,Consolidado!$B$2:$N$43,4,FALSE)</f>
        <v>Totoro</v>
      </c>
      <c r="D25" s="98">
        <v>5447</v>
      </c>
      <c r="E25" s="97">
        <v>5586</v>
      </c>
      <c r="F25" s="99">
        <v>0.02</v>
      </c>
      <c r="G25" s="99">
        <v>1.2E-2</v>
      </c>
      <c r="H25" s="99">
        <v>0.253</v>
      </c>
      <c r="I25" s="99">
        <f>+VLOOKUP(A25,Calculos!$V$26:$AG$67,8,FALSE)</f>
        <v>0.25262227137196508</v>
      </c>
      <c r="J25" s="107">
        <f>+VLOOKUP(A25,Calculos!$V$26:$AF$67,9,FALSE)</f>
        <v>0.83451281651733544</v>
      </c>
      <c r="K25" s="98">
        <f t="shared" si="1"/>
        <v>18.748858533518394</v>
      </c>
      <c r="L25" s="90">
        <v>34.731076860644023</v>
      </c>
      <c r="M25" s="101">
        <f t="shared" si="0"/>
        <v>651.16804677696894</v>
      </c>
      <c r="N25" s="101">
        <f t="shared" si="2"/>
        <v>2.5392168454922106</v>
      </c>
    </row>
    <row r="26" spans="1:14" x14ac:dyDescent="0.2">
      <c r="A26" s="97">
        <v>19318</v>
      </c>
      <c r="B26" s="97" t="s">
        <v>21</v>
      </c>
      <c r="C26" s="97" t="str">
        <f>+VLOOKUP(A26,Consolidado!$B$2:$N$43,4,FALSE)</f>
        <v>Guapi</v>
      </c>
      <c r="D26" s="98">
        <v>2911</v>
      </c>
      <c r="E26" s="97">
        <v>7046</v>
      </c>
      <c r="F26" s="99">
        <v>1.0999999999999999E-2</v>
      </c>
      <c r="G26" s="99">
        <v>1.4999999999999999E-2</v>
      </c>
      <c r="H26" s="99">
        <v>0.23</v>
      </c>
      <c r="I26" s="99">
        <f>+VLOOKUP(A26,Calculos!$V$26:$AG$67,8,FALSE)</f>
        <v>0.36753490318594317</v>
      </c>
      <c r="J26" s="107">
        <f>+VLOOKUP(A26,Calculos!$V$26:$AF$67,9,FALSE)</f>
        <v>0.51329999999999998</v>
      </c>
      <c r="K26" s="98">
        <f t="shared" si="1"/>
        <v>23.046358392663485</v>
      </c>
      <c r="L26" s="90">
        <v>375.99107619897109</v>
      </c>
      <c r="M26" s="101">
        <f t="shared" si="0"/>
        <v>8665.2250945247342</v>
      </c>
      <c r="N26" s="101">
        <f t="shared" si="2"/>
        <v>1.8471269623373034</v>
      </c>
    </row>
    <row r="27" spans="1:14" x14ac:dyDescent="0.2">
      <c r="A27" s="97">
        <v>19418</v>
      </c>
      <c r="B27" s="97" t="s">
        <v>21</v>
      </c>
      <c r="C27" s="97" t="str">
        <f>+VLOOKUP(A27,Consolidado!$B$2:$N$43,4,FALSE)</f>
        <v>López de Micay</v>
      </c>
      <c r="D27" s="98">
        <v>4461</v>
      </c>
      <c r="E27" s="97">
        <v>4962</v>
      </c>
      <c r="F27" s="99">
        <v>1.6E-2</v>
      </c>
      <c r="G27" s="99">
        <v>1.0999999999999999E-2</v>
      </c>
      <c r="H27" s="99">
        <v>0.35299999999999998</v>
      </c>
      <c r="I27" s="99">
        <f>+VLOOKUP(A27,Calculos!$V$26:$AG$67,8,FALSE)</f>
        <v>0.26287911681686327</v>
      </c>
      <c r="J27" s="107">
        <f>+VLOOKUP(A27,Calculos!$V$26:$AF$67,9,FALSE)</f>
        <v>0.63939999999999997</v>
      </c>
      <c r="K27" s="98">
        <f t="shared" si="1"/>
        <v>16.85375109181318</v>
      </c>
      <c r="L27" s="90">
        <v>198.69432133724726</v>
      </c>
      <c r="M27" s="101">
        <f t="shared" si="0"/>
        <v>3348.7446351747099</v>
      </c>
      <c r="N27" s="101">
        <f t="shared" si="2"/>
        <v>2.9493642596016456</v>
      </c>
    </row>
    <row r="28" spans="1:14" x14ac:dyDescent="0.2">
      <c r="A28" s="97">
        <v>19809</v>
      </c>
      <c r="B28" s="97" t="s">
        <v>21</v>
      </c>
      <c r="C28" s="97" t="str">
        <f>+VLOOKUP(A28,Consolidado!$B$2:$N$43,4,FALSE)</f>
        <v>Timbiquí</v>
      </c>
      <c r="D28" s="98">
        <v>5265</v>
      </c>
      <c r="E28" s="97">
        <v>6974</v>
      </c>
      <c r="F28" s="99">
        <v>1.9E-2</v>
      </c>
      <c r="G28" s="99">
        <v>1.4999999999999999E-2</v>
      </c>
      <c r="H28" s="99">
        <v>0.41699999999999998</v>
      </c>
      <c r="I28" s="99">
        <f>+VLOOKUP(A28,Calculos!$V$26:$AG$67,8,FALSE)</f>
        <v>0.36958597999719356</v>
      </c>
      <c r="J28" s="107">
        <f>+VLOOKUP(A28,Calculos!$V$26:$AF$67,9,FALSE)</f>
        <v>0.64155000000000006</v>
      </c>
      <c r="K28" s="98">
        <f t="shared" si="1"/>
        <v>10.113883517821353</v>
      </c>
      <c r="L28" s="90">
        <v>278.70153677421263</v>
      </c>
      <c r="M28" s="101">
        <f t="shared" si="0"/>
        <v>2818.7548791721911</v>
      </c>
      <c r="N28" s="101">
        <f t="shared" si="2"/>
        <v>5.8167819263360627</v>
      </c>
    </row>
    <row r="29" spans="1:14" x14ac:dyDescent="0.2">
      <c r="A29" s="97">
        <v>19050</v>
      </c>
      <c r="B29" s="97" t="s">
        <v>24</v>
      </c>
      <c r="C29" s="97" t="str">
        <f>+VLOOKUP(A29,Consolidado!$B$2:$N$43,4,FALSE)</f>
        <v>Argelia</v>
      </c>
      <c r="D29" s="98">
        <v>7913</v>
      </c>
      <c r="E29" s="97">
        <v>8717</v>
      </c>
      <c r="F29" s="99">
        <v>2.9000000000000001E-2</v>
      </c>
      <c r="G29" s="99">
        <v>1.9E-2</v>
      </c>
      <c r="H29" s="99">
        <v>0.18099999999999999</v>
      </c>
      <c r="I29" s="99">
        <f>+VLOOKUP(A29,Calculos!$V$26:$AG$67,8,FALSE)</f>
        <v>0.19809318341386101</v>
      </c>
      <c r="J29" s="107">
        <f>+VLOOKUP(A29,Calculos!$V$26:$AF$67,9,FALSE)</f>
        <v>0.79337639722134501</v>
      </c>
      <c r="K29" s="98">
        <f t="shared" si="1"/>
        <v>35.153827530169607</v>
      </c>
      <c r="L29" s="90">
        <v>55.973107100561926</v>
      </c>
      <c r="M29" s="101">
        <f t="shared" si="0"/>
        <v>1967.6689533408658</v>
      </c>
      <c r="N29" s="101">
        <f t="shared" si="2"/>
        <v>2.0654930698062444</v>
      </c>
    </row>
    <row r="30" spans="1:14" x14ac:dyDescent="0.2">
      <c r="A30" s="97">
        <v>19075</v>
      </c>
      <c r="B30" s="97" t="s">
        <v>24</v>
      </c>
      <c r="C30" s="97" t="str">
        <f>+VLOOKUP(A30,Consolidado!$B$2:$N$43,4,FALSE)</f>
        <v>Balboa</v>
      </c>
      <c r="D30" s="98">
        <v>6283</v>
      </c>
      <c r="E30" s="97">
        <v>8193</v>
      </c>
      <c r="F30" s="99">
        <v>2.3E-2</v>
      </c>
      <c r="G30" s="99">
        <v>1.7999999999999999E-2</v>
      </c>
      <c r="H30" s="99">
        <v>0.14299999999999999</v>
      </c>
      <c r="I30" s="99">
        <f>+VLOOKUP(A30,Calculos!$V$26:$AG$67,8,FALSE)</f>
        <v>0.14041938139898955</v>
      </c>
      <c r="J30" s="107">
        <f>+VLOOKUP(A30,Calculos!$V$26:$AF$67,9,FALSE)</f>
        <v>0.92189857835574152</v>
      </c>
      <c r="K30" s="98">
        <f t="shared" si="1"/>
        <v>54.019898247083901</v>
      </c>
      <c r="L30" s="90">
        <v>20.830794906330386</v>
      </c>
      <c r="M30" s="101">
        <f t="shared" si="0"/>
        <v>1125.277421245841</v>
      </c>
      <c r="N30" s="101">
        <f t="shared" si="2"/>
        <v>0.9174207677120948</v>
      </c>
    </row>
    <row r="31" spans="1:14" x14ac:dyDescent="0.2">
      <c r="A31" s="97">
        <v>19100</v>
      </c>
      <c r="B31" s="97" t="s">
        <v>24</v>
      </c>
      <c r="C31" s="97" t="str">
        <f>+VLOOKUP(A31,Consolidado!$B$2:$N$43,4,FALSE)</f>
        <v>Bolivar</v>
      </c>
      <c r="D31" s="98">
        <v>13232</v>
      </c>
      <c r="E31" s="97">
        <v>15456</v>
      </c>
      <c r="F31" s="99">
        <v>4.8000000000000001E-2</v>
      </c>
      <c r="G31" s="99">
        <v>3.4000000000000002E-2</v>
      </c>
      <c r="H31" s="99">
        <v>0.30199999999999999</v>
      </c>
      <c r="I31" s="99">
        <f>+VLOOKUP(A31,Calculos!$V$26:$AG$67,8,FALSE)</f>
        <v>0.29570303836218065</v>
      </c>
      <c r="J31" s="107">
        <f>+VLOOKUP(A31,Calculos!$V$26:$AF$67,9,FALSE)</f>
        <v>0.88590483201207992</v>
      </c>
      <c r="K31" s="98">
        <f t="shared" si="1"/>
        <v>12.640090972165844</v>
      </c>
      <c r="L31" s="90">
        <v>69.658572437599588</v>
      </c>
      <c r="M31" s="101">
        <f t="shared" si="0"/>
        <v>880.49069260246301</v>
      </c>
      <c r="N31" s="101">
        <f t="shared" si="2"/>
        <v>8.5149402608388112</v>
      </c>
    </row>
    <row r="32" spans="1:14" x14ac:dyDescent="0.2">
      <c r="A32" s="97">
        <v>19290</v>
      </c>
      <c r="B32" s="97" t="s">
        <v>24</v>
      </c>
      <c r="C32" s="97" t="str">
        <f>+VLOOKUP(A32,Consolidado!$B$2:$N$43,4,FALSE)</f>
        <v>Florencia</v>
      </c>
      <c r="D32" s="98">
        <v>1558</v>
      </c>
      <c r="E32" s="97">
        <v>1928</v>
      </c>
      <c r="F32" s="99">
        <v>6.0000000000000001E-3</v>
      </c>
      <c r="G32" s="99">
        <v>4.0000000000000001E-3</v>
      </c>
      <c r="H32" s="99">
        <v>3.5999999999999997E-2</v>
      </c>
      <c r="I32" s="99">
        <f>+VLOOKUP(A32,Calculos!$V$26:$AG$67,8,FALSE)</f>
        <v>3.4819235600127577E-2</v>
      </c>
      <c r="J32" s="107">
        <f>+VLOOKUP(A32,Calculos!$V$26:$AF$67,9,FALSE)</f>
        <v>0.94617313432835792</v>
      </c>
      <c r="K32" s="98">
        <f t="shared" si="1"/>
        <v>843.15545486536882</v>
      </c>
      <c r="L32" s="90">
        <v>1.7750403875108649</v>
      </c>
      <c r="M32" s="101">
        <f t="shared" si="0"/>
        <v>1496.6349853361239</v>
      </c>
      <c r="N32" s="101">
        <f t="shared" si="2"/>
        <v>1.4940000840500659E-2</v>
      </c>
    </row>
    <row r="33" spans="1:14" x14ac:dyDescent="0.2">
      <c r="A33" s="97">
        <v>19450</v>
      </c>
      <c r="B33" s="97" t="s">
        <v>24</v>
      </c>
      <c r="C33" s="97" t="str">
        <f>+VLOOKUP(A33,Consolidado!$B$2:$N$43,4,FALSE)</f>
        <v>Mercaderes</v>
      </c>
      <c r="D33" s="98">
        <v>5191</v>
      </c>
      <c r="E33" s="97">
        <v>7116</v>
      </c>
      <c r="F33" s="99">
        <v>1.9E-2</v>
      </c>
      <c r="G33" s="99">
        <v>1.6E-2</v>
      </c>
      <c r="H33" s="99">
        <v>0.11899999999999999</v>
      </c>
      <c r="I33" s="99">
        <f>+VLOOKUP(A33,Calculos!$V$26:$AG$67,8,FALSE)</f>
        <v>0.11601039622658355</v>
      </c>
      <c r="J33" s="107">
        <f>+VLOOKUP(A33,Calculos!$V$26:$AF$67,9,FALSE)</f>
        <v>0.84560497315625893</v>
      </c>
      <c r="K33" s="98">
        <f t="shared" si="1"/>
        <v>85.662076951197875</v>
      </c>
      <c r="L33" s="90">
        <v>21.374080833388433</v>
      </c>
      <c r="M33" s="101">
        <f t="shared" si="0"/>
        <v>1830.9481571108436</v>
      </c>
      <c r="N33" s="101">
        <f t="shared" si="2"/>
        <v>0.52104485343209517</v>
      </c>
    </row>
    <row r="34" spans="1:14" x14ac:dyDescent="0.2">
      <c r="A34" s="97">
        <v>19532</v>
      </c>
      <c r="B34" s="97" t="s">
        <v>24</v>
      </c>
      <c r="C34" s="97" t="str">
        <f>+VLOOKUP(A34,Consolidado!$B$2:$N$43,4,FALSE)</f>
        <v>Patía</v>
      </c>
      <c r="D34" s="98">
        <v>7448</v>
      </c>
      <c r="E34" s="97">
        <v>11636</v>
      </c>
      <c r="F34" s="99">
        <v>2.7E-2</v>
      </c>
      <c r="G34" s="99">
        <v>2.5000000000000001E-2</v>
      </c>
      <c r="H34" s="99">
        <v>0.17</v>
      </c>
      <c r="I34" s="99">
        <f>+VLOOKUP(A34,Calculos!$V$26:$AG$67,8,FALSE)</f>
        <v>0.16644494255680209</v>
      </c>
      <c r="J34" s="107">
        <f>+VLOOKUP(A34,Calculos!$V$26:$AF$67,9,FALSE)</f>
        <v>0.82668571428571447</v>
      </c>
      <c r="K34" s="98">
        <f t="shared" si="1"/>
        <v>42.750386180125453</v>
      </c>
      <c r="L34" s="90">
        <v>64.952304115123354</v>
      </c>
      <c r="M34" s="101">
        <f t="shared" si="0"/>
        <v>2776.7360842104749</v>
      </c>
      <c r="N34" s="101">
        <f t="shared" si="2"/>
        <v>1.5176126126915941</v>
      </c>
    </row>
    <row r="35" spans="1:14" x14ac:dyDescent="0.2">
      <c r="A35" s="97">
        <v>19785</v>
      </c>
      <c r="B35" s="97" t="s">
        <v>24</v>
      </c>
      <c r="C35" s="97" t="str">
        <f>+VLOOKUP(A35,Consolidado!$B$2:$N$43,4,FALSE)</f>
        <v>Sucre</v>
      </c>
      <c r="D35" s="98">
        <v>2171</v>
      </c>
      <c r="E35" s="97">
        <v>2722</v>
      </c>
      <c r="F35" s="99">
        <v>8.0000000000000002E-3</v>
      </c>
      <c r="G35" s="99">
        <v>6.0000000000000001E-3</v>
      </c>
      <c r="H35" s="99">
        <v>0.05</v>
      </c>
      <c r="I35" s="99">
        <f>+VLOOKUP(A35,Calculos!$V$26:$AG$67,8,FALSE)</f>
        <v>4.8509822441455561E-2</v>
      </c>
      <c r="J35" s="107">
        <f>+VLOOKUP(A35,Calculos!$V$26:$AF$67,9,FALSE)</f>
        <v>0.80514312567132096</v>
      </c>
      <c r="K35" s="98">
        <f t="shared" si="1"/>
        <v>512.06751011174777</v>
      </c>
      <c r="L35" s="90">
        <v>14.024024873393117</v>
      </c>
      <c r="M35" s="101">
        <f t="shared" si="0"/>
        <v>7181.2474986636316</v>
      </c>
      <c r="N35" s="101">
        <f t="shared" si="2"/>
        <v>3.8544934715531755E-2</v>
      </c>
    </row>
    <row r="36" spans="1:14" x14ac:dyDescent="0.2">
      <c r="A36" s="97">
        <v>19022</v>
      </c>
      <c r="B36" s="97" t="s">
        <v>32</v>
      </c>
      <c r="C36" s="97" t="str">
        <f>+VLOOKUP(A36,Consolidado!$B$2:$N$43,4,FALSE)</f>
        <v>Almaguer</v>
      </c>
      <c r="D36" s="98">
        <v>6330</v>
      </c>
      <c r="E36" s="97">
        <v>7068</v>
      </c>
      <c r="F36" s="99">
        <v>2.3E-2</v>
      </c>
      <c r="G36" s="99">
        <v>1.4999999999999999E-2</v>
      </c>
      <c r="H36" s="99">
        <v>0.25900000000000001</v>
      </c>
      <c r="I36" s="99">
        <f>+VLOOKUP(A36,Calculos!$V$26:$AG$67,8,FALSE)</f>
        <v>0.25937741324408364</v>
      </c>
      <c r="J36" s="107">
        <f>+VLOOKUP(A36,Calculos!$V$26:$AF$67,9,FALSE)</f>
        <v>0.80482281307083403</v>
      </c>
      <c r="K36" s="98">
        <f t="shared" si="1"/>
        <v>18.495573534079998</v>
      </c>
      <c r="L36" s="90">
        <v>64.871816485170825</v>
      </c>
      <c r="M36" s="101">
        <f t="shared" si="0"/>
        <v>1199.84145209082</v>
      </c>
      <c r="N36" s="101">
        <f t="shared" si="2"/>
        <v>3.0692862439430955</v>
      </c>
    </row>
    <row r="37" spans="1:14" x14ac:dyDescent="0.2">
      <c r="A37" s="97">
        <v>19392</v>
      </c>
      <c r="B37" s="97" t="s">
        <v>32</v>
      </c>
      <c r="C37" s="97" t="str">
        <f>+VLOOKUP(A37,Consolidado!$B$2:$N$43,4,FALSE)</f>
        <v>La Sierra</v>
      </c>
      <c r="D37" s="98">
        <v>2821</v>
      </c>
      <c r="E37" s="97">
        <v>3603</v>
      </c>
      <c r="F37" s="99">
        <v>0.01</v>
      </c>
      <c r="G37" s="99">
        <v>8.0000000000000002E-3</v>
      </c>
      <c r="H37" s="99">
        <v>0.11600000000000001</v>
      </c>
      <c r="I37" s="99">
        <f>+VLOOKUP(A37,Calculos!$V$26:$AG$67,8,FALSE)</f>
        <v>0.1156161222914493</v>
      </c>
      <c r="J37" s="107">
        <f>+VLOOKUP(A37,Calculos!$V$26:$AF$67,9,FALSE)</f>
        <v>0.88170786163522008</v>
      </c>
      <c r="K37" s="98">
        <f t="shared" si="1"/>
        <v>84.566605499237099</v>
      </c>
      <c r="L37" s="90">
        <v>14.701726355875284</v>
      </c>
      <c r="M37" s="101">
        <f t="shared" si="0"/>
        <v>1243.2750928950418</v>
      </c>
      <c r="N37" s="101">
        <f t="shared" si="2"/>
        <v>0.26641214950598535</v>
      </c>
    </row>
    <row r="38" spans="1:14" x14ac:dyDescent="0.2">
      <c r="A38" s="97">
        <v>19397</v>
      </c>
      <c r="B38" s="97" t="s">
        <v>32</v>
      </c>
      <c r="C38" s="97" t="str">
        <f>+VLOOKUP(A38,Consolidado!$B$2:$N$43,4,FALSE)</f>
        <v>La Vega</v>
      </c>
      <c r="D38" s="98">
        <v>7298</v>
      </c>
      <c r="E38" s="97">
        <v>7780</v>
      </c>
      <c r="F38" s="99">
        <v>2.5999999999999999E-2</v>
      </c>
      <c r="G38" s="99">
        <v>1.7000000000000001E-2</v>
      </c>
      <c r="H38" s="99">
        <v>0.29899999999999999</v>
      </c>
      <c r="I38" s="99">
        <f>+VLOOKUP(A38,Calculos!$V$26:$AG$67,8,FALSE)</f>
        <v>0.29906856005536531</v>
      </c>
      <c r="J38" s="107">
        <f>+VLOOKUP(A38,Calculos!$V$26:$AF$67,9,FALSE)</f>
        <v>0.92619245738422107</v>
      </c>
      <c r="K38" s="98">
        <f t="shared" si="1"/>
        <v>12.074156816108491</v>
      </c>
      <c r="L38" s="90">
        <v>18.936744139136305</v>
      </c>
      <c r="M38" s="101">
        <f t="shared" si="0"/>
        <v>228.64521832245515</v>
      </c>
      <c r="N38" s="101">
        <f t="shared" si="2"/>
        <v>4.6184147774822755</v>
      </c>
    </row>
    <row r="39" spans="1:14" x14ac:dyDescent="0.2">
      <c r="A39" s="97">
        <v>19622</v>
      </c>
      <c r="B39" s="97" t="s">
        <v>32</v>
      </c>
      <c r="C39" s="97" t="str">
        <f>+VLOOKUP(A39,Consolidado!$B$2:$N$43,4,FALSE)</f>
        <v>Rosas</v>
      </c>
      <c r="D39" s="98">
        <v>3491</v>
      </c>
      <c r="E39" s="97">
        <v>3855</v>
      </c>
      <c r="F39" s="99">
        <v>1.2999999999999999E-2</v>
      </c>
      <c r="G39" s="99">
        <v>8.0000000000000002E-3</v>
      </c>
      <c r="H39" s="99">
        <v>0.14299999999999999</v>
      </c>
      <c r="I39" s="99">
        <f>+VLOOKUP(A39,Calculos!$V$26:$AG$67,8,FALSE)</f>
        <v>0.14304190384722415</v>
      </c>
      <c r="J39" s="107">
        <f>+VLOOKUP(A39,Calculos!$V$26:$AF$67,9,FALSE)</f>
        <v>0.92648809523809494</v>
      </c>
      <c r="K39" s="98">
        <f t="shared" si="1"/>
        <v>52.766809705190212</v>
      </c>
      <c r="L39" s="90">
        <v>8.1363413629919386</v>
      </c>
      <c r="M39" s="101">
        <f t="shared" si="0"/>
        <v>429.32877639746357</v>
      </c>
      <c r="N39" s="101">
        <f t="shared" si="2"/>
        <v>0.52822665161911486</v>
      </c>
    </row>
    <row r="40" spans="1:14" x14ac:dyDescent="0.2">
      <c r="A40" s="97">
        <v>19760</v>
      </c>
      <c r="B40" s="97" t="s">
        <v>32</v>
      </c>
      <c r="C40" s="97" t="str">
        <f>+VLOOKUP(A40,Consolidado!$B$2:$N$43,4,FALSE)</f>
        <v>Sotará</v>
      </c>
      <c r="D40" s="98">
        <v>4463</v>
      </c>
      <c r="E40" s="97">
        <v>4574</v>
      </c>
      <c r="F40" s="99">
        <v>1.6E-2</v>
      </c>
      <c r="G40" s="99">
        <v>0.01</v>
      </c>
      <c r="H40" s="99">
        <v>0.183</v>
      </c>
      <c r="I40" s="99">
        <f>+VLOOKUP(A40,Calculos!$V$26:$AG$67,8,FALSE)</f>
        <v>0.18289600056187755</v>
      </c>
      <c r="J40" s="107">
        <f>+VLOOKUP(A40,Calculos!$V$26:$AF$67,9,FALSE)</f>
        <v>0.88776380103507746</v>
      </c>
      <c r="K40" s="98">
        <f t="shared" si="1"/>
        <v>33.654819761181869</v>
      </c>
      <c r="L40" s="90">
        <v>22.504176178978742</v>
      </c>
      <c r="M40" s="101">
        <f t="shared" si="0"/>
        <v>757.3739931774121</v>
      </c>
      <c r="N40" s="101">
        <f t="shared" si="2"/>
        <v>1.0637826902056629</v>
      </c>
    </row>
    <row r="41" spans="1:14" x14ac:dyDescent="0.2">
      <c r="A41" s="97">
        <v>19533</v>
      </c>
      <c r="B41" s="97" t="s">
        <v>131</v>
      </c>
      <c r="C41" s="97" t="str">
        <f>+VLOOKUP(A41,Consolidado!$B$2:$N$43,4,FALSE)</f>
        <v>Piamonte</v>
      </c>
      <c r="D41" s="98">
        <v>2224</v>
      </c>
      <c r="E41" s="97">
        <v>2815</v>
      </c>
      <c r="F41" s="99">
        <v>8.0000000000000002E-3</v>
      </c>
      <c r="G41" s="99">
        <v>6.0000000000000001E-3</v>
      </c>
      <c r="H41" s="99">
        <v>0.28299999999999997</v>
      </c>
      <c r="I41" s="99">
        <f>+VLOOKUP(A41,Calculos!$V$26:$AG$67,8,FALSE)</f>
        <v>0.33144596650454866</v>
      </c>
      <c r="J41" s="107">
        <f>+VLOOKUP(A41,Calculos!$V$26:$AF$67,9,FALSE)</f>
        <v>0.309090837696335</v>
      </c>
      <c r="K41" s="98">
        <f t="shared" si="1"/>
        <v>34.491707509732251</v>
      </c>
      <c r="L41" s="90">
        <v>91.928292961576574</v>
      </c>
      <c r="M41" s="101">
        <f t="shared" si="0"/>
        <v>3170.7637926996772</v>
      </c>
      <c r="N41" s="101">
        <f t="shared" si="2"/>
        <v>1.4906195021289428</v>
      </c>
    </row>
    <row r="42" spans="1:14" x14ac:dyDescent="0.2">
      <c r="A42" s="97">
        <v>19693</v>
      </c>
      <c r="B42" s="97" t="s">
        <v>131</v>
      </c>
      <c r="C42" s="97" t="str">
        <f>+VLOOKUP(A42,Consolidado!$B$2:$N$43,4,FALSE)</f>
        <v>San Sebastián</v>
      </c>
      <c r="D42" s="98">
        <v>3956</v>
      </c>
      <c r="E42" s="97">
        <v>4204</v>
      </c>
      <c r="F42" s="99">
        <v>1.4E-2</v>
      </c>
      <c r="G42" s="99">
        <v>8.9999999999999993E-3</v>
      </c>
      <c r="H42" s="99">
        <v>0.504</v>
      </c>
      <c r="I42" s="99">
        <f>+VLOOKUP(A42,Calculos!$V$26:$AG$67,8,FALSE)</f>
        <v>0.44340642396665464</v>
      </c>
      <c r="J42" s="107">
        <f>+VLOOKUP(A42,Calculos!$V$26:$AF$67,9,FALSE)</f>
        <v>0.87424266984505361</v>
      </c>
      <c r="K42" s="98">
        <f t="shared" si="1"/>
        <v>5.1184148546997807</v>
      </c>
      <c r="L42" s="90">
        <v>16.648230600974692</v>
      </c>
      <c r="M42" s="101">
        <f t="shared" si="0"/>
        <v>85.212550812496318</v>
      </c>
      <c r="N42" s="101">
        <f t="shared" si="2"/>
        <v>6.2149578989096863</v>
      </c>
    </row>
    <row r="43" spans="1:14" x14ac:dyDescent="0.2">
      <c r="A43" s="97">
        <v>19701</v>
      </c>
      <c r="B43" s="97" t="s">
        <v>131</v>
      </c>
      <c r="C43" s="97" t="str">
        <f>+VLOOKUP(A43,Consolidado!$B$2:$N$43,4,FALSE)</f>
        <v>Santa Rosa</v>
      </c>
      <c r="D43" s="98">
        <v>1675</v>
      </c>
      <c r="E43" s="97">
        <v>1993</v>
      </c>
      <c r="F43" s="99">
        <v>6.0000000000000001E-3</v>
      </c>
      <c r="G43" s="99">
        <v>4.0000000000000001E-3</v>
      </c>
      <c r="H43" s="99">
        <v>0.21299999999999999</v>
      </c>
      <c r="I43" s="99">
        <f>+VLOOKUP(A43,Calculos!$V$26:$AG$67,8,FALSE)</f>
        <v>0.22514760952879675</v>
      </c>
      <c r="J43" s="107">
        <f>+VLOOKUP(A43,Calculos!$V$26:$AF$67,9,FALSE)</f>
        <v>0.7958265720645521</v>
      </c>
      <c r="K43" s="98">
        <f t="shared" si="1"/>
        <v>26.202010749032652</v>
      </c>
      <c r="L43" s="90">
        <v>22.658696742160537</v>
      </c>
      <c r="M43" s="101">
        <f t="shared" si="0"/>
        <v>593.70341559716155</v>
      </c>
      <c r="N43" s="101">
        <f t="shared" si="2"/>
        <v>0.57157843131615527</v>
      </c>
    </row>
    <row r="44" spans="1:14" x14ac:dyDescent="0.2">
      <c r="D44" s="27">
        <f>SUM(D2:D43)</f>
        <v>275985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K2" sqref="K2:K43"/>
    </sheetView>
  </sheetViews>
  <sheetFormatPr baseColWidth="10" defaultRowHeight="16" x14ac:dyDescent="0.2"/>
  <cols>
    <col min="1" max="1" width="10" customWidth="1"/>
    <col min="2" max="2" width="14" customWidth="1"/>
    <col min="3" max="3" width="20.33203125" bestFit="1" customWidth="1"/>
    <col min="4" max="4" width="20.33203125" customWidth="1"/>
    <col min="5" max="5" width="20.33203125" bestFit="1" customWidth="1"/>
    <col min="6" max="7" width="17" customWidth="1"/>
    <col min="8" max="8" width="20.6640625" customWidth="1"/>
    <col min="9" max="9" width="17.6640625" customWidth="1"/>
    <col min="10" max="10" width="17" customWidth="1"/>
    <col min="11" max="11" width="14.5" customWidth="1"/>
    <col min="12" max="12" width="10.83203125" customWidth="1"/>
    <col min="17" max="17" width="0" hidden="1" customWidth="1"/>
    <col min="18" max="19" width="24.33203125" customWidth="1"/>
    <col min="20" max="20" width="14.5" customWidth="1"/>
  </cols>
  <sheetData>
    <row r="1" spans="1:21" ht="52" customHeight="1" x14ac:dyDescent="0.2">
      <c r="A1" t="s">
        <v>148</v>
      </c>
      <c r="B1" s="31" t="s">
        <v>122</v>
      </c>
      <c r="C1" s="31" t="s">
        <v>129</v>
      </c>
      <c r="D1" s="31" t="s">
        <v>130</v>
      </c>
      <c r="E1" s="31" t="s">
        <v>41</v>
      </c>
      <c r="F1" s="28" t="s">
        <v>123</v>
      </c>
      <c r="G1" s="28" t="s">
        <v>132</v>
      </c>
      <c r="H1" s="28" t="s">
        <v>124</v>
      </c>
      <c r="I1" s="28" t="s">
        <v>128</v>
      </c>
      <c r="J1" s="29" t="s">
        <v>125</v>
      </c>
      <c r="K1" s="29" t="s">
        <v>126</v>
      </c>
      <c r="L1" s="46" t="s">
        <v>127</v>
      </c>
      <c r="M1" s="76" t="s">
        <v>178</v>
      </c>
      <c r="N1" s="76" t="s">
        <v>176</v>
      </c>
      <c r="O1" s="76" t="s">
        <v>177</v>
      </c>
      <c r="P1" s="76" t="s">
        <v>179</v>
      </c>
      <c r="Q1" s="76"/>
      <c r="R1" s="84" t="s">
        <v>180</v>
      </c>
      <c r="S1" s="85" t="s">
        <v>181</v>
      </c>
      <c r="T1" s="86" t="s">
        <v>182</v>
      </c>
      <c r="U1" t="s">
        <v>200</v>
      </c>
    </row>
    <row r="2" spans="1:21" s="77" customFormat="1" x14ac:dyDescent="0.2">
      <c r="A2" s="77">
        <v>1</v>
      </c>
      <c r="B2" s="78">
        <v>19001</v>
      </c>
      <c r="C2" s="79">
        <v>1</v>
      </c>
      <c r="D2" s="79" t="s">
        <v>0</v>
      </c>
      <c r="E2" s="79" t="s">
        <v>42</v>
      </c>
      <c r="F2" s="80">
        <v>0.19238141649065199</v>
      </c>
      <c r="G2" s="79">
        <v>23</v>
      </c>
      <c r="H2" s="81">
        <v>84936</v>
      </c>
      <c r="I2" s="81">
        <v>109402</v>
      </c>
      <c r="J2" s="81">
        <v>92117.251390863617</v>
      </c>
      <c r="K2" s="81">
        <v>19818.364985047963</v>
      </c>
      <c r="L2" s="108">
        <f t="shared" ref="L2:L43" si="0">J2+K2</f>
        <v>111935.61637591157</v>
      </c>
      <c r="M2" s="78">
        <v>1.2900000000000063</v>
      </c>
      <c r="N2" s="78">
        <v>0.48000000000000398</v>
      </c>
      <c r="O2" s="78">
        <v>5.81</v>
      </c>
      <c r="P2" s="82">
        <v>1151.4258</v>
      </c>
      <c r="Q2" s="78">
        <f>+P2*O2/100</f>
        <v>66.897838980000003</v>
      </c>
      <c r="R2" s="83">
        <f>+P2/SUM($P$2:$P$9)</f>
        <v>0.12027747938022322</v>
      </c>
      <c r="S2" s="83">
        <f>+SUM($P$2:$P$9)/SUM($P$2:P$43)</f>
        <v>0.21963406600218863</v>
      </c>
      <c r="T2" s="82">
        <f>+S2*R2*2376</f>
        <v>62.766867663180243</v>
      </c>
      <c r="U2" s="102">
        <f>+IF(F2&gt;=0.4,SUM(J2,K2),K2)</f>
        <v>19818.364985047963</v>
      </c>
    </row>
    <row r="3" spans="1:21" s="77" customFormat="1" x14ac:dyDescent="0.2">
      <c r="A3" s="77">
        <v>7</v>
      </c>
      <c r="B3" s="78">
        <v>19130</v>
      </c>
      <c r="C3" s="79">
        <v>1</v>
      </c>
      <c r="D3" s="79" t="s">
        <v>0</v>
      </c>
      <c r="E3" s="79" t="s">
        <v>1</v>
      </c>
      <c r="F3" s="80">
        <v>0.31090988554037902</v>
      </c>
      <c r="G3" s="79">
        <v>2</v>
      </c>
      <c r="H3" s="81">
        <v>9176</v>
      </c>
      <c r="I3" s="81">
        <v>12216</v>
      </c>
      <c r="J3" s="81">
        <v>808.56221616712071</v>
      </c>
      <c r="K3" s="81">
        <v>11642.716768813423</v>
      </c>
      <c r="L3" s="108">
        <f t="shared" si="0"/>
        <v>12451.278984980543</v>
      </c>
      <c r="M3" s="78">
        <v>11.159999999999997</v>
      </c>
      <c r="N3" s="78">
        <v>2.0900000000000034</v>
      </c>
      <c r="O3" s="78">
        <v>11.82</v>
      </c>
      <c r="P3" s="82">
        <v>1376.2026000000001</v>
      </c>
      <c r="Q3" s="78">
        <f t="shared" ref="Q3:Q43" si="1">+P3*O3/100</f>
        <v>162.66714732000003</v>
      </c>
      <c r="R3" s="83">
        <f t="shared" ref="R3:R9" si="2">+P3/SUM($P$2:$P$9)</f>
        <v>0.14375757416978982</v>
      </c>
      <c r="S3" s="83">
        <f>+SUM($P$2:$P$9)/SUM($P$2:P$43)</f>
        <v>0.21963406600218863</v>
      </c>
      <c r="T3" s="82">
        <f t="shared" ref="T3:T43" si="3">+S3*R3*2376</f>
        <v>75.019967827648614</v>
      </c>
      <c r="U3" s="102">
        <f t="shared" ref="U3:U43" si="4">+IF(F3&gt;=0.4,SUM(J3,K3),K3)</f>
        <v>11642.716768813423</v>
      </c>
    </row>
    <row r="4" spans="1:21" s="77" customFormat="1" x14ac:dyDescent="0.2">
      <c r="A4" s="77">
        <v>11</v>
      </c>
      <c r="B4" s="78">
        <v>19256</v>
      </c>
      <c r="C4" s="79">
        <v>1</v>
      </c>
      <c r="D4" s="79" t="s">
        <v>0</v>
      </c>
      <c r="E4" s="79" t="s">
        <v>2</v>
      </c>
      <c r="F4" s="80">
        <v>0.40506636333141005</v>
      </c>
      <c r="G4" s="79">
        <v>20</v>
      </c>
      <c r="H4" s="81">
        <v>12629</v>
      </c>
      <c r="I4" s="81">
        <v>16847</v>
      </c>
      <c r="J4" s="81">
        <v>1048.131868131868</v>
      </c>
      <c r="K4" s="81">
        <v>15761.321215217733</v>
      </c>
      <c r="L4" s="108">
        <f t="shared" si="0"/>
        <v>16809.453083349603</v>
      </c>
      <c r="M4" s="78">
        <v>14.269999999999996</v>
      </c>
      <c r="N4" s="78">
        <v>2.1299999999999955</v>
      </c>
      <c r="O4" s="78">
        <v>15.19</v>
      </c>
      <c r="P4" s="82">
        <v>2553.2871</v>
      </c>
      <c r="Q4" s="78">
        <f t="shared" si="1"/>
        <v>387.84431049</v>
      </c>
      <c r="R4" s="83">
        <f t="shared" si="2"/>
        <v>0.26671535110819988</v>
      </c>
      <c r="S4" s="83">
        <f>+SUM($P$2:$P$9)/SUM($P$2:P$43)</f>
        <v>0.21963406600218863</v>
      </c>
      <c r="T4" s="82">
        <f t="shared" si="3"/>
        <v>139.1855502211304</v>
      </c>
      <c r="U4" s="102">
        <f t="shared" si="4"/>
        <v>16809.453083349603</v>
      </c>
    </row>
    <row r="5" spans="1:21" s="77" customFormat="1" x14ac:dyDescent="0.2">
      <c r="A5" s="77">
        <v>22</v>
      </c>
      <c r="B5" s="78">
        <v>19473</v>
      </c>
      <c r="C5" s="79">
        <v>1</v>
      </c>
      <c r="D5" s="79" t="s">
        <v>0</v>
      </c>
      <c r="E5" s="79" t="s">
        <v>3</v>
      </c>
      <c r="F5" s="80">
        <v>0.32857631389762804</v>
      </c>
      <c r="G5" s="79">
        <v>6</v>
      </c>
      <c r="H5" s="81">
        <v>8256</v>
      </c>
      <c r="I5" s="81">
        <v>11238</v>
      </c>
      <c r="J5" s="81">
        <v>1191.5177993527509</v>
      </c>
      <c r="K5" s="81">
        <v>10390.480063795854</v>
      </c>
      <c r="L5" s="109">
        <f t="shared" si="0"/>
        <v>11581.997863148605</v>
      </c>
      <c r="M5" s="78">
        <v>21.409999999999997</v>
      </c>
      <c r="N5" s="78">
        <v>5.2099999999999937</v>
      </c>
      <c r="O5" s="78">
        <v>22.85</v>
      </c>
      <c r="P5" s="82">
        <v>2374.1150000000002</v>
      </c>
      <c r="Q5" s="78">
        <f t="shared" si="1"/>
        <v>542.48527750000005</v>
      </c>
      <c r="R5" s="83">
        <f t="shared" si="2"/>
        <v>0.24799910507370831</v>
      </c>
      <c r="S5" s="83">
        <f>+SUM($P$2:$P$9)/SUM($P$2:P$43)</f>
        <v>0.21963406600218863</v>
      </c>
      <c r="T5" s="82">
        <f t="shared" si="3"/>
        <v>129.41846710588834</v>
      </c>
      <c r="U5" s="102">
        <f t="shared" si="4"/>
        <v>10390.480063795854</v>
      </c>
    </row>
    <row r="6" spans="1:21" s="77" customFormat="1" x14ac:dyDescent="0.2">
      <c r="A6" s="77">
        <v>27</v>
      </c>
      <c r="B6" s="78">
        <v>19548</v>
      </c>
      <c r="C6" s="79">
        <v>1</v>
      </c>
      <c r="D6" s="79" t="s">
        <v>0</v>
      </c>
      <c r="E6" s="79" t="s">
        <v>4</v>
      </c>
      <c r="F6" s="80">
        <v>0.24674267093769198</v>
      </c>
      <c r="G6" s="79">
        <v>1</v>
      </c>
      <c r="H6" s="81">
        <v>9935</v>
      </c>
      <c r="I6" s="81">
        <v>11998</v>
      </c>
      <c r="J6" s="81">
        <v>4279.2132296265154</v>
      </c>
      <c r="K6" s="81">
        <v>8016.2046558933216</v>
      </c>
      <c r="L6" s="108">
        <f t="shared" si="0"/>
        <v>12295.417885519837</v>
      </c>
      <c r="M6" s="78">
        <v>4.9599999999999937</v>
      </c>
      <c r="N6" s="78">
        <v>1.6500000000000057</v>
      </c>
      <c r="O6" s="78">
        <v>6.93</v>
      </c>
      <c r="P6" s="82">
        <v>555.50879999999995</v>
      </c>
      <c r="Q6" s="78">
        <f t="shared" si="1"/>
        <v>38.496759839999996</v>
      </c>
      <c r="R6" s="83">
        <f t="shared" si="2"/>
        <v>5.8028227470265592E-2</v>
      </c>
      <c r="S6" s="83">
        <f>+SUM($P$2:$P$9)/SUM($P$2:P$43)</f>
        <v>0.21963406600218863</v>
      </c>
      <c r="T6" s="82">
        <f t="shared" si="3"/>
        <v>30.282061888253722</v>
      </c>
      <c r="U6" s="102">
        <f t="shared" si="4"/>
        <v>8016.2046558933216</v>
      </c>
    </row>
    <row r="7" spans="1:21" s="77" customFormat="1" x14ac:dyDescent="0.2">
      <c r="A7" s="77">
        <v>29</v>
      </c>
      <c r="B7" s="78">
        <v>19585</v>
      </c>
      <c r="C7" s="79">
        <v>1</v>
      </c>
      <c r="D7" s="79" t="s">
        <v>0</v>
      </c>
      <c r="E7" s="79" t="s">
        <v>5</v>
      </c>
      <c r="F7" s="80">
        <v>0.35378209029213797</v>
      </c>
      <c r="G7" s="79">
        <v>1</v>
      </c>
      <c r="H7" s="81">
        <v>3657</v>
      </c>
      <c r="I7" s="81">
        <v>4211</v>
      </c>
      <c r="J7" s="81">
        <v>603.77371832645849</v>
      </c>
      <c r="K7" s="81">
        <v>3676.6615088282501</v>
      </c>
      <c r="L7" s="108">
        <f t="shared" si="0"/>
        <v>4280.4352271547086</v>
      </c>
      <c r="M7" s="78">
        <v>6.730000000000004</v>
      </c>
      <c r="N7" s="78">
        <v>2.4300000000000068</v>
      </c>
      <c r="O7" s="78">
        <v>7.4</v>
      </c>
      <c r="P7" s="82">
        <v>272.09800000000001</v>
      </c>
      <c r="Q7" s="78">
        <f t="shared" si="1"/>
        <v>20.135252000000001</v>
      </c>
      <c r="R7" s="83">
        <f t="shared" si="2"/>
        <v>2.8423248449357293E-2</v>
      </c>
      <c r="S7" s="83">
        <f>+SUM($P$2:$P$9)/SUM($P$2:P$43)</f>
        <v>0.21963406600218863</v>
      </c>
      <c r="T7" s="82">
        <f t="shared" si="3"/>
        <v>14.832687575192443</v>
      </c>
      <c r="U7" s="102">
        <f t="shared" si="4"/>
        <v>3676.6615088282501</v>
      </c>
    </row>
    <row r="8" spans="1:21" s="77" customFormat="1" x14ac:dyDescent="0.2">
      <c r="A8" s="77">
        <v>34</v>
      </c>
      <c r="B8" s="78">
        <v>19743</v>
      </c>
      <c r="C8" s="79">
        <v>1</v>
      </c>
      <c r="D8" s="79" t="s">
        <v>0</v>
      </c>
      <c r="E8" s="79" t="s">
        <v>6</v>
      </c>
      <c r="F8" s="80">
        <v>0.32334810554032101</v>
      </c>
      <c r="G8" s="79">
        <v>3</v>
      </c>
      <c r="H8" s="81">
        <v>7897</v>
      </c>
      <c r="I8" s="81">
        <v>9870</v>
      </c>
      <c r="J8" s="81">
        <v>2055.0073463935887</v>
      </c>
      <c r="K8" s="81">
        <v>7959.7212970010651</v>
      </c>
      <c r="L8" s="109">
        <f t="shared" si="0"/>
        <v>10014.728643394654</v>
      </c>
      <c r="M8" s="78">
        <v>9.730000000000004</v>
      </c>
      <c r="N8" s="78">
        <v>1.3900000000000006</v>
      </c>
      <c r="O8" s="78">
        <v>11.36</v>
      </c>
      <c r="P8" s="82">
        <v>904.25599999999986</v>
      </c>
      <c r="Q8" s="78">
        <f t="shared" si="1"/>
        <v>102.72348159999997</v>
      </c>
      <c r="R8" s="83">
        <f t="shared" si="2"/>
        <v>9.4458220750692837E-2</v>
      </c>
      <c r="S8" s="83">
        <f>+SUM($P$2:$P$9)/SUM($P$2:P$43)</f>
        <v>0.21963406600218863</v>
      </c>
      <c r="T8" s="82">
        <f t="shared" si="3"/>
        <v>49.293073583757369</v>
      </c>
      <c r="U8" s="102">
        <f t="shared" si="4"/>
        <v>7959.7212970010651</v>
      </c>
    </row>
    <row r="9" spans="1:21" s="77" customFormat="1" x14ac:dyDescent="0.2">
      <c r="A9" s="77">
        <v>38</v>
      </c>
      <c r="B9" s="78">
        <v>19807</v>
      </c>
      <c r="C9" s="79">
        <v>1</v>
      </c>
      <c r="D9" s="79" t="s">
        <v>0</v>
      </c>
      <c r="E9" s="79" t="s">
        <v>49</v>
      </c>
      <c r="F9" s="80">
        <v>0.26499229262902602</v>
      </c>
      <c r="G9" s="79">
        <v>1</v>
      </c>
      <c r="H9" s="81">
        <v>9296</v>
      </c>
      <c r="I9" s="81">
        <v>11607</v>
      </c>
      <c r="J9" s="81">
        <v>4551.0203955500619</v>
      </c>
      <c r="K9" s="81">
        <v>7327.8959697853415</v>
      </c>
      <c r="L9" s="109">
        <f t="shared" si="0"/>
        <v>11878.916365335404</v>
      </c>
      <c r="M9" s="78">
        <v>3.4099999999999966</v>
      </c>
      <c r="N9" s="78">
        <v>0.76000000000000512</v>
      </c>
      <c r="O9" s="78">
        <v>5.27</v>
      </c>
      <c r="P9" s="82">
        <v>386.18559999999997</v>
      </c>
      <c r="Q9" s="78">
        <f t="shared" si="1"/>
        <v>20.351981119999994</v>
      </c>
      <c r="R9" s="83">
        <f t="shared" si="2"/>
        <v>4.0340793597762985E-2</v>
      </c>
      <c r="S9" s="83">
        <f>+SUM($P$2:$P$9)/SUM($P$2:P$43)</f>
        <v>0.21963406600218863</v>
      </c>
      <c r="T9" s="82">
        <f t="shared" si="3"/>
        <v>21.051864956149021</v>
      </c>
      <c r="U9" s="102">
        <f t="shared" si="4"/>
        <v>7327.8959697853415</v>
      </c>
    </row>
    <row r="10" spans="1:21" s="77" customFormat="1" x14ac:dyDescent="0.2">
      <c r="A10" s="77">
        <v>6</v>
      </c>
      <c r="B10" s="78">
        <v>19110</v>
      </c>
      <c r="C10" s="79">
        <v>2</v>
      </c>
      <c r="D10" s="79" t="s">
        <v>8</v>
      </c>
      <c r="E10" s="79" t="s">
        <v>9</v>
      </c>
      <c r="F10" s="80">
        <v>0.28261295646269002</v>
      </c>
      <c r="G10" s="79">
        <v>8</v>
      </c>
      <c r="H10" s="81">
        <v>8398</v>
      </c>
      <c r="I10" s="81">
        <v>9461</v>
      </c>
      <c r="J10" s="81">
        <v>435.4252873563218</v>
      </c>
      <c r="K10" s="81">
        <v>9208.9261036468324</v>
      </c>
      <c r="L10" s="109">
        <f t="shared" si="0"/>
        <v>9644.3513910031543</v>
      </c>
      <c r="M10" s="78">
        <v>13.980000000000004</v>
      </c>
      <c r="N10" s="78">
        <v>2.6700000000000017</v>
      </c>
      <c r="O10" s="78">
        <v>14.56</v>
      </c>
      <c r="P10" s="82">
        <v>1340.8304000000001</v>
      </c>
      <c r="Q10" s="78">
        <f t="shared" si="1"/>
        <v>195.22490624000002</v>
      </c>
      <c r="R10" s="83">
        <f t="shared" ref="R10:R22" si="5">+P10/SUM($P$10:$P$22)</f>
        <v>0.2226755309934543</v>
      </c>
      <c r="S10" s="83">
        <f>+SUM($P$10:$P$22)/SUM($P$2:P$43)</f>
        <v>0.13814953090744117</v>
      </c>
      <c r="T10" s="82">
        <f t="shared" si="3"/>
        <v>73.091747879515154</v>
      </c>
      <c r="U10" s="102">
        <f t="shared" si="4"/>
        <v>9208.9261036468324</v>
      </c>
    </row>
    <row r="11" spans="1:21" s="77" customFormat="1" x14ac:dyDescent="0.2">
      <c r="A11" s="77">
        <v>8</v>
      </c>
      <c r="B11" s="78">
        <v>19137</v>
      </c>
      <c r="C11" s="79">
        <v>2</v>
      </c>
      <c r="D11" s="79" t="s">
        <v>8</v>
      </c>
      <c r="E11" s="79" t="s">
        <v>16</v>
      </c>
      <c r="F11" s="80">
        <v>0.29195393056199498</v>
      </c>
      <c r="G11" s="79">
        <v>4</v>
      </c>
      <c r="H11" s="81">
        <v>8201</v>
      </c>
      <c r="I11" s="81">
        <v>10382</v>
      </c>
      <c r="J11" s="81">
        <v>647.07681692732285</v>
      </c>
      <c r="K11" s="81">
        <v>10205.392698295034</v>
      </c>
      <c r="L11" s="109">
        <f t="shared" si="0"/>
        <v>10852.469515222358</v>
      </c>
      <c r="M11" s="78">
        <v>8.5999999999999943</v>
      </c>
      <c r="N11" s="78">
        <v>2.1899999999999977</v>
      </c>
      <c r="O11" s="78">
        <v>9.0500000000000007</v>
      </c>
      <c r="P11" s="82">
        <v>923.55250000000001</v>
      </c>
      <c r="Q11" s="78">
        <f t="shared" si="1"/>
        <v>83.581501250000002</v>
      </c>
      <c r="R11" s="83">
        <f t="shared" si="5"/>
        <v>0.15337699931164464</v>
      </c>
      <c r="S11" s="83">
        <f>+SUM($P$10:$P$22)/SUM($P$2:P$43)</f>
        <v>0.13814953090744117</v>
      </c>
      <c r="T11" s="82">
        <f t="shared" si="3"/>
        <v>50.34497016438165</v>
      </c>
      <c r="U11" s="102">
        <f t="shared" si="4"/>
        <v>10205.392698295034</v>
      </c>
    </row>
    <row r="12" spans="1:21" s="77" customFormat="1" x14ac:dyDescent="0.2">
      <c r="A12" s="77">
        <v>9</v>
      </c>
      <c r="B12" s="78">
        <v>19142</v>
      </c>
      <c r="C12" s="79">
        <v>2</v>
      </c>
      <c r="D12" s="79" t="s">
        <v>8</v>
      </c>
      <c r="E12" s="79" t="s">
        <v>10</v>
      </c>
      <c r="F12" s="80">
        <v>0.26386065106468098</v>
      </c>
      <c r="G12" s="79">
        <v>5</v>
      </c>
      <c r="H12" s="81">
        <v>7274</v>
      </c>
      <c r="I12" s="81">
        <v>8559</v>
      </c>
      <c r="J12" s="81">
        <v>2111.1497073815367</v>
      </c>
      <c r="K12" s="81">
        <v>6459.4098617585605</v>
      </c>
      <c r="L12" s="108">
        <f t="shared" si="0"/>
        <v>8570.5595691400977</v>
      </c>
      <c r="M12" s="78">
        <v>7.5300000000000011</v>
      </c>
      <c r="N12" s="78">
        <v>1.1200000000000045</v>
      </c>
      <c r="O12" s="78">
        <v>9.48</v>
      </c>
      <c r="P12" s="82">
        <v>612.31320000000005</v>
      </c>
      <c r="Q12" s="78">
        <f t="shared" si="1"/>
        <v>58.04729136000001</v>
      </c>
      <c r="R12" s="83">
        <f t="shared" si="5"/>
        <v>0.10168860054508101</v>
      </c>
      <c r="S12" s="83">
        <f>+SUM($P$10:$P$22)/SUM($P$2:P$43)</f>
        <v>0.13814953090744117</v>
      </c>
      <c r="T12" s="82">
        <f t="shared" si="3"/>
        <v>33.378600334314569</v>
      </c>
      <c r="U12" s="102">
        <f t="shared" si="4"/>
        <v>6459.4098617585605</v>
      </c>
    </row>
    <row r="13" spans="1:21" s="77" customFormat="1" x14ac:dyDescent="0.2">
      <c r="A13" s="77">
        <v>10</v>
      </c>
      <c r="B13" s="78">
        <v>19212</v>
      </c>
      <c r="C13" s="79">
        <v>2</v>
      </c>
      <c r="D13" s="79" t="s">
        <v>8</v>
      </c>
      <c r="E13" s="79" t="s">
        <v>11</v>
      </c>
      <c r="F13" s="80">
        <v>0.29749618997911503</v>
      </c>
      <c r="G13" s="79">
        <v>5</v>
      </c>
      <c r="H13" s="81">
        <v>7501</v>
      </c>
      <c r="I13" s="81">
        <v>9098</v>
      </c>
      <c r="J13" s="81">
        <v>4766.847826086957</v>
      </c>
      <c r="K13" s="81">
        <v>4368.5458649040784</v>
      </c>
      <c r="L13" s="109">
        <f t="shared" si="0"/>
        <v>9135.3936909910353</v>
      </c>
      <c r="M13" s="78">
        <v>3.0699999999999932</v>
      </c>
      <c r="N13" s="78">
        <v>0.93999999999999773</v>
      </c>
      <c r="O13" s="78">
        <v>5.7</v>
      </c>
      <c r="P13" s="82">
        <v>249.03299999999999</v>
      </c>
      <c r="Q13" s="78">
        <f t="shared" si="1"/>
        <v>14.194881000000001</v>
      </c>
      <c r="R13" s="83">
        <f t="shared" si="5"/>
        <v>4.1357621001054945E-2</v>
      </c>
      <c r="S13" s="83">
        <f>+SUM($P$10:$P$22)/SUM($P$2:P$43)</f>
        <v>0.13814953090744117</v>
      </c>
      <c r="T13" s="82">
        <f t="shared" si="3"/>
        <v>13.575361395206505</v>
      </c>
      <c r="U13" s="102">
        <f t="shared" si="4"/>
        <v>4368.5458649040784</v>
      </c>
    </row>
    <row r="14" spans="1:21" s="77" customFormat="1" x14ac:dyDescent="0.2">
      <c r="A14" s="77">
        <v>13</v>
      </c>
      <c r="B14" s="78">
        <v>19300</v>
      </c>
      <c r="C14" s="79">
        <v>2</v>
      </c>
      <c r="D14" s="79" t="s">
        <v>8</v>
      </c>
      <c r="E14" s="79" t="s">
        <v>44</v>
      </c>
      <c r="F14" s="80">
        <v>0</v>
      </c>
      <c r="G14" s="79">
        <v>1</v>
      </c>
      <c r="H14" s="81">
        <v>5452</v>
      </c>
      <c r="I14" s="81">
        <v>6135</v>
      </c>
      <c r="J14" s="81">
        <v>1977.116512345679</v>
      </c>
      <c r="K14" s="81">
        <v>4266.8690774012584</v>
      </c>
      <c r="L14" s="108">
        <f t="shared" si="0"/>
        <v>6243.985589746937</v>
      </c>
      <c r="M14" s="78">
        <v>0.75</v>
      </c>
      <c r="N14" s="78">
        <v>0.79000000000000625</v>
      </c>
      <c r="O14" s="78">
        <v>0.74</v>
      </c>
      <c r="P14" s="82">
        <v>31.575800000000001</v>
      </c>
      <c r="Q14" s="78">
        <f t="shared" si="1"/>
        <v>0.23366092000000002</v>
      </c>
      <c r="R14" s="83">
        <f t="shared" si="5"/>
        <v>5.2438832171042022E-3</v>
      </c>
      <c r="S14" s="83">
        <f>+SUM($P$10:$P$22)/SUM($P$2:P$43)</f>
        <v>0.13814953090744117</v>
      </c>
      <c r="T14" s="82">
        <f t="shared" si="3"/>
        <v>1.7212694556254051</v>
      </c>
      <c r="U14" s="102">
        <f t="shared" si="4"/>
        <v>4266.8690774012584</v>
      </c>
    </row>
    <row r="15" spans="1:21" s="77" customFormat="1" x14ac:dyDescent="0.2">
      <c r="A15" s="77">
        <v>16</v>
      </c>
      <c r="B15" s="78">
        <v>19364</v>
      </c>
      <c r="C15" s="79">
        <v>2</v>
      </c>
      <c r="D15" s="79" t="s">
        <v>8</v>
      </c>
      <c r="E15" s="79" t="s">
        <v>45</v>
      </c>
      <c r="F15" s="80">
        <v>0.30943648736042301</v>
      </c>
      <c r="G15" s="79">
        <v>5</v>
      </c>
      <c r="H15" s="81">
        <v>3507</v>
      </c>
      <c r="I15" s="81">
        <v>3993</v>
      </c>
      <c r="J15" s="81">
        <v>484.27440633245385</v>
      </c>
      <c r="K15" s="81">
        <v>3670.2275178728205</v>
      </c>
      <c r="L15" s="109">
        <f t="shared" si="0"/>
        <v>4154.501924205274</v>
      </c>
      <c r="M15" s="78">
        <v>13.290000000000006</v>
      </c>
      <c r="N15" s="78">
        <v>1.9200000000000017</v>
      </c>
      <c r="O15" s="78">
        <v>14.6</v>
      </c>
      <c r="P15" s="82">
        <v>535.82000000000005</v>
      </c>
      <c r="Q15" s="78">
        <f t="shared" si="1"/>
        <v>78.22972</v>
      </c>
      <c r="R15" s="83">
        <f t="shared" si="5"/>
        <v>8.8985156524578113E-2</v>
      </c>
      <c r="S15" s="83">
        <f>+SUM($P$10:$P$22)/SUM($P$2:P$43)</f>
        <v>0.13814953090744117</v>
      </c>
      <c r="T15" s="82">
        <f t="shared" si="3"/>
        <v>29.208780132671368</v>
      </c>
      <c r="U15" s="102">
        <f t="shared" si="4"/>
        <v>3670.2275178728205</v>
      </c>
    </row>
    <row r="16" spans="1:21" s="77" customFormat="1" x14ac:dyDescent="0.2">
      <c r="A16" s="77">
        <v>21</v>
      </c>
      <c r="B16" s="78">
        <v>19455</v>
      </c>
      <c r="C16" s="79">
        <v>2</v>
      </c>
      <c r="D16" s="79" t="s">
        <v>8</v>
      </c>
      <c r="E16" s="79" t="s">
        <v>12</v>
      </c>
      <c r="F16" s="80">
        <v>0.24670716749723798</v>
      </c>
      <c r="G16" s="79">
        <v>3</v>
      </c>
      <c r="H16" s="81">
        <v>9329</v>
      </c>
      <c r="I16" s="81">
        <v>10360</v>
      </c>
      <c r="J16" s="81">
        <v>6340.9592861126603</v>
      </c>
      <c r="K16" s="81">
        <v>4254.4623976172743</v>
      </c>
      <c r="L16" s="108">
        <f t="shared" si="0"/>
        <v>10595.421683729935</v>
      </c>
      <c r="M16" s="78">
        <v>2.1500000000000057</v>
      </c>
      <c r="N16" s="78">
        <v>0.40999999999999659</v>
      </c>
      <c r="O16" s="78">
        <v>4.8600000000000003</v>
      </c>
      <c r="P16" s="82">
        <v>206.74440000000001</v>
      </c>
      <c r="Q16" s="78">
        <f t="shared" si="1"/>
        <v>10.047777840000002</v>
      </c>
      <c r="R16" s="83">
        <f t="shared" si="5"/>
        <v>3.433463251573287E-2</v>
      </c>
      <c r="S16" s="83">
        <f>+SUM($P$10:$P$22)/SUM($P$2:P$43)</f>
        <v>0.13814953090744117</v>
      </c>
      <c r="T16" s="82">
        <f t="shared" si="3"/>
        <v>11.270112581204627</v>
      </c>
      <c r="U16" s="102">
        <f t="shared" si="4"/>
        <v>4254.4623976172743</v>
      </c>
    </row>
    <row r="17" spans="1:21" s="77" customFormat="1" x14ac:dyDescent="0.2">
      <c r="A17" s="77">
        <v>23</v>
      </c>
      <c r="B17" s="78">
        <v>19513</v>
      </c>
      <c r="C17" s="79">
        <v>2</v>
      </c>
      <c r="D17" s="79" t="s">
        <v>8</v>
      </c>
      <c r="E17" s="79" t="s">
        <v>13</v>
      </c>
      <c r="F17" s="80">
        <v>0.26770320803110598</v>
      </c>
      <c r="G17" s="79">
        <v>6</v>
      </c>
      <c r="H17" s="81">
        <v>2877</v>
      </c>
      <c r="I17" s="81">
        <v>3336</v>
      </c>
      <c r="J17" s="81">
        <v>1631.9812416257257</v>
      </c>
      <c r="K17" s="81">
        <v>1720.5532148745192</v>
      </c>
      <c r="L17" s="108">
        <f t="shared" si="0"/>
        <v>3352.5344565002451</v>
      </c>
      <c r="M17" s="78">
        <v>1.2900000000000063</v>
      </c>
      <c r="N17" s="78">
        <v>0.56999999999999318</v>
      </c>
      <c r="O17" s="78">
        <v>1.97</v>
      </c>
      <c r="P17" s="82">
        <v>33.903700000000001</v>
      </c>
      <c r="Q17" s="78">
        <f t="shared" si="1"/>
        <v>0.66790289000000003</v>
      </c>
      <c r="R17" s="83">
        <f t="shared" si="5"/>
        <v>5.6304842134715745E-3</v>
      </c>
      <c r="S17" s="83">
        <f>+SUM($P$10:$P$22)/SUM($P$2:P$43)</f>
        <v>0.13814953090744117</v>
      </c>
      <c r="T17" s="82">
        <f t="shared" si="3"/>
        <v>1.8481686368258938</v>
      </c>
      <c r="U17" s="102">
        <f t="shared" si="4"/>
        <v>1720.5532148745192</v>
      </c>
    </row>
    <row r="18" spans="1:21" s="77" customFormat="1" x14ac:dyDescent="0.2">
      <c r="A18" s="77">
        <v>28</v>
      </c>
      <c r="B18" s="78">
        <v>19573</v>
      </c>
      <c r="C18" s="79">
        <v>2</v>
      </c>
      <c r="D18" s="79" t="s">
        <v>8</v>
      </c>
      <c r="E18" s="79" t="s">
        <v>14</v>
      </c>
      <c r="F18" s="80">
        <v>0.19761156022783999</v>
      </c>
      <c r="G18" s="79">
        <v>1</v>
      </c>
      <c r="H18" s="81">
        <v>12429</v>
      </c>
      <c r="I18" s="81">
        <v>13907</v>
      </c>
      <c r="J18" s="81">
        <v>11839.914162025038</v>
      </c>
      <c r="K18" s="81">
        <v>2143.6231071228267</v>
      </c>
      <c r="L18" s="109">
        <f t="shared" si="0"/>
        <v>13983.537269147864</v>
      </c>
      <c r="M18" s="78">
        <v>0.23000000000000398</v>
      </c>
      <c r="N18" s="78">
        <v>0.18000000000000682</v>
      </c>
      <c r="O18" s="78">
        <v>0.59</v>
      </c>
      <c r="P18" s="82">
        <v>12.6496</v>
      </c>
      <c r="Q18" s="78">
        <f t="shared" si="1"/>
        <v>7.463264E-2</v>
      </c>
      <c r="R18" s="83">
        <f t="shared" si="5"/>
        <v>2.1007551714629972E-3</v>
      </c>
      <c r="S18" s="83">
        <f>+SUM($P$10:$P$22)/SUM($P$2:P$43)</f>
        <v>0.13814953090744117</v>
      </c>
      <c r="T18" s="82">
        <f t="shared" si="3"/>
        <v>0.68955877937785026</v>
      </c>
      <c r="U18" s="102">
        <f t="shared" si="4"/>
        <v>2143.6231071228267</v>
      </c>
    </row>
    <row r="19" spans="1:21" s="77" customFormat="1" x14ac:dyDescent="0.2">
      <c r="A19" s="77">
        <v>32</v>
      </c>
      <c r="B19" s="78">
        <v>19698</v>
      </c>
      <c r="C19" s="79">
        <v>2</v>
      </c>
      <c r="D19" s="79" t="s">
        <v>8</v>
      </c>
      <c r="E19" s="79" t="s">
        <v>47</v>
      </c>
      <c r="F19" s="80">
        <v>0.257981022039174</v>
      </c>
      <c r="G19" s="79">
        <v>1</v>
      </c>
      <c r="H19" s="81">
        <v>29001</v>
      </c>
      <c r="I19" s="81">
        <v>35751</v>
      </c>
      <c r="J19" s="81">
        <v>19714.904184052368</v>
      </c>
      <c r="K19" s="81">
        <v>16789.556521589719</v>
      </c>
      <c r="L19" s="109">
        <f t="shared" si="0"/>
        <v>36504.460705642086</v>
      </c>
      <c r="M19" s="78">
        <v>17.680000000000007</v>
      </c>
      <c r="N19" s="78">
        <v>0.85999999999999943</v>
      </c>
      <c r="O19" s="78">
        <v>5.27</v>
      </c>
      <c r="P19" s="82">
        <v>884.83299999999986</v>
      </c>
      <c r="Q19" s="78">
        <f t="shared" si="1"/>
        <v>46.630699099999994</v>
      </c>
      <c r="R19" s="83">
        <f t="shared" si="5"/>
        <v>0.14694674144882985</v>
      </c>
      <c r="S19" s="83">
        <f>+SUM($P$10:$P$22)/SUM($P$2:P$43)</f>
        <v>0.13814953090744117</v>
      </c>
      <c r="T19" s="82">
        <f t="shared" si="3"/>
        <v>48.234281197290137</v>
      </c>
      <c r="U19" s="102">
        <f t="shared" si="4"/>
        <v>16789.556521589719</v>
      </c>
    </row>
    <row r="20" spans="1:21" s="77" customFormat="1" x14ac:dyDescent="0.2">
      <c r="A20" s="77">
        <v>36</v>
      </c>
      <c r="B20" s="78">
        <v>19780</v>
      </c>
      <c r="C20" s="79">
        <v>2</v>
      </c>
      <c r="D20" s="79" t="s">
        <v>8</v>
      </c>
      <c r="E20" s="79" t="s">
        <v>48</v>
      </c>
      <c r="F20" s="80">
        <v>0.34724402378858998</v>
      </c>
      <c r="G20" s="79">
        <v>1</v>
      </c>
      <c r="H20" s="81">
        <v>7090</v>
      </c>
      <c r="I20" s="81">
        <v>9576</v>
      </c>
      <c r="J20" s="81">
        <v>2116.930094043887</v>
      </c>
      <c r="K20" s="81">
        <v>7633.3061432377372</v>
      </c>
      <c r="L20" s="109">
        <f t="shared" si="0"/>
        <v>9750.2362372816242</v>
      </c>
      <c r="M20" s="78">
        <v>7.3199999999999932</v>
      </c>
      <c r="N20" s="78">
        <v>0.89000000000000057</v>
      </c>
      <c r="O20" s="78">
        <v>9.89</v>
      </c>
      <c r="P20" s="82">
        <v>754.90370000000007</v>
      </c>
      <c r="Q20" s="78">
        <f t="shared" si="1"/>
        <v>74.659975930000016</v>
      </c>
      <c r="R20" s="83">
        <f t="shared" si="5"/>
        <v>0.12536901180523899</v>
      </c>
      <c r="S20" s="83">
        <f>+SUM($P$10:$P$22)/SUM($P$2:P$43)</f>
        <v>0.13814953090744117</v>
      </c>
      <c r="T20" s="82">
        <f t="shared" si="3"/>
        <v>41.151536326826374</v>
      </c>
      <c r="U20" s="102">
        <f t="shared" si="4"/>
        <v>7633.3061432377372</v>
      </c>
    </row>
    <row r="21" spans="1:21" s="77" customFormat="1" x14ac:dyDescent="0.2">
      <c r="A21" s="77">
        <v>40</v>
      </c>
      <c r="B21" s="78">
        <v>19821</v>
      </c>
      <c r="C21" s="79">
        <v>2</v>
      </c>
      <c r="D21" s="79" t="s">
        <v>8</v>
      </c>
      <c r="E21" s="79" t="s">
        <v>15</v>
      </c>
      <c r="F21" s="80">
        <v>0.316796650834198</v>
      </c>
      <c r="G21" s="79">
        <v>1</v>
      </c>
      <c r="H21" s="81">
        <v>7752</v>
      </c>
      <c r="I21" s="81">
        <v>8866</v>
      </c>
      <c r="J21" s="81">
        <v>769.51372388365428</v>
      </c>
      <c r="K21" s="81">
        <v>8461.7339902980748</v>
      </c>
      <c r="L21" s="109">
        <f t="shared" si="0"/>
        <v>9231.247714181729</v>
      </c>
      <c r="M21" s="78">
        <v>4.1500000000000057</v>
      </c>
      <c r="N21" s="78">
        <v>0.29999999999999716</v>
      </c>
      <c r="O21" s="78">
        <v>4.5199999999999996</v>
      </c>
      <c r="P21" s="82">
        <v>382.48239999999998</v>
      </c>
      <c r="Q21" s="78">
        <f t="shared" si="1"/>
        <v>17.288204479999997</v>
      </c>
      <c r="R21" s="83">
        <f t="shared" si="5"/>
        <v>6.3519943697316811E-2</v>
      </c>
      <c r="S21" s="83">
        <f>+SUM($P$10:$P$22)/SUM($P$2:P$43)</f>
        <v>0.13814953090744117</v>
      </c>
      <c r="T21" s="82">
        <f t="shared" si="3"/>
        <v>20.849995009922107</v>
      </c>
      <c r="U21" s="102">
        <f t="shared" si="4"/>
        <v>8461.7339902980748</v>
      </c>
    </row>
    <row r="22" spans="1:21" s="77" customFormat="1" x14ac:dyDescent="0.2">
      <c r="A22" s="77">
        <v>42</v>
      </c>
      <c r="B22" s="78">
        <v>19845</v>
      </c>
      <c r="C22" s="79">
        <v>2</v>
      </c>
      <c r="D22" s="79" t="s">
        <v>8</v>
      </c>
      <c r="E22" s="79" t="s">
        <v>51</v>
      </c>
      <c r="F22" s="80">
        <v>0.24628508883404598</v>
      </c>
      <c r="G22" s="79">
        <v>1</v>
      </c>
      <c r="H22" s="81">
        <v>6326</v>
      </c>
      <c r="I22" s="81">
        <v>7201</v>
      </c>
      <c r="J22" s="81">
        <v>5446.0744375131426</v>
      </c>
      <c r="K22" s="81">
        <v>1956.4145658263305</v>
      </c>
      <c r="L22" s="109">
        <f t="shared" si="0"/>
        <v>7402.4890033394731</v>
      </c>
      <c r="M22" s="78">
        <v>1.1899999999999977</v>
      </c>
      <c r="N22" s="78">
        <v>0.64000000000000057</v>
      </c>
      <c r="O22" s="78">
        <v>2.7</v>
      </c>
      <c r="P22" s="82">
        <v>52.812000000000005</v>
      </c>
      <c r="Q22" s="78">
        <f t="shared" si="1"/>
        <v>1.4259240000000002</v>
      </c>
      <c r="R22" s="83">
        <f t="shared" si="5"/>
        <v>8.7706395550297099E-3</v>
      </c>
      <c r="S22" s="83">
        <f>+SUM($P$10:$P$22)/SUM($P$2:P$43)</f>
        <v>0.13814953090744117</v>
      </c>
      <c r="T22" s="82">
        <f t="shared" si="3"/>
        <v>2.8789035429185925</v>
      </c>
      <c r="U22" s="102">
        <f t="shared" si="4"/>
        <v>1956.4145658263305</v>
      </c>
    </row>
    <row r="23" spans="1:21" s="77" customFormat="1" x14ac:dyDescent="0.2">
      <c r="A23" s="77">
        <v>15</v>
      </c>
      <c r="B23" s="78">
        <v>19355</v>
      </c>
      <c r="C23" s="79">
        <v>3</v>
      </c>
      <c r="D23" s="79" t="s">
        <v>17</v>
      </c>
      <c r="E23" s="79" t="s">
        <v>18</v>
      </c>
      <c r="F23" s="80">
        <v>0.34941643103060005</v>
      </c>
      <c r="G23" s="79">
        <v>7</v>
      </c>
      <c r="H23" s="81">
        <v>6794</v>
      </c>
      <c r="I23" s="81">
        <v>7890</v>
      </c>
      <c r="J23" s="81">
        <v>481.26299694189601</v>
      </c>
      <c r="K23" s="81">
        <v>7559.5400964781829</v>
      </c>
      <c r="L23" s="108">
        <f t="shared" si="0"/>
        <v>8040.8030934200788</v>
      </c>
      <c r="M23" s="78">
        <v>9.4599999999999937</v>
      </c>
      <c r="N23" s="78">
        <v>0.98000000000000398</v>
      </c>
      <c r="O23" s="78">
        <v>10</v>
      </c>
      <c r="P23" s="82">
        <v>756</v>
      </c>
      <c r="Q23" s="78">
        <f t="shared" si="1"/>
        <v>75.599999999999994</v>
      </c>
      <c r="R23" s="83">
        <f>+P23/SUM($P$23:$P$25)</f>
        <v>0.2295314913107302</v>
      </c>
      <c r="S23" s="83">
        <f>+SUM($P$23:$P$25)/SUM($P$2:P$43)</f>
        <v>7.5566199474543627E-2</v>
      </c>
      <c r="T23" s="82">
        <f t="shared" si="3"/>
        <v>41.21129816038885</v>
      </c>
      <c r="U23" s="102">
        <f t="shared" si="4"/>
        <v>7559.5400964781829</v>
      </c>
    </row>
    <row r="24" spans="1:21" s="77" customFormat="1" x14ac:dyDescent="0.2">
      <c r="A24" s="77">
        <v>24</v>
      </c>
      <c r="B24" s="78">
        <v>19517</v>
      </c>
      <c r="C24" s="79">
        <v>3</v>
      </c>
      <c r="D24" s="79" t="s">
        <v>17</v>
      </c>
      <c r="E24" s="79" t="s">
        <v>19</v>
      </c>
      <c r="F24" s="80">
        <v>0.37866287880761296</v>
      </c>
      <c r="G24" s="79">
        <v>21</v>
      </c>
      <c r="H24" s="81">
        <v>8624</v>
      </c>
      <c r="I24" s="81">
        <v>9511</v>
      </c>
      <c r="J24" s="81">
        <v>1109.6523056210031</v>
      </c>
      <c r="K24" s="81">
        <v>8555.1756570494108</v>
      </c>
      <c r="L24" s="109">
        <f t="shared" si="0"/>
        <v>9664.8279626704134</v>
      </c>
      <c r="M24" s="78">
        <v>20.400000000000006</v>
      </c>
      <c r="N24" s="78">
        <v>2.8900000000000006</v>
      </c>
      <c r="O24" s="78">
        <v>22.43</v>
      </c>
      <c r="P24" s="82">
        <v>1918.8864999999998</v>
      </c>
      <c r="Q24" s="78">
        <f t="shared" si="1"/>
        <v>430.40624194999998</v>
      </c>
      <c r="R24" s="83">
        <f>+P24/SUM($P$23:$P$25)</f>
        <v>0.58259904762040671</v>
      </c>
      <c r="S24" s="83">
        <f>+SUM($P$23:$P$25)/SUM($P$2:P$43)</f>
        <v>7.5566199474543627E-2</v>
      </c>
      <c r="T24" s="82">
        <f t="shared" si="3"/>
        <v>104.60291493048281</v>
      </c>
      <c r="U24" s="102">
        <f t="shared" si="4"/>
        <v>8555.1756570494108</v>
      </c>
    </row>
    <row r="25" spans="1:21" s="77" customFormat="1" x14ac:dyDescent="0.2">
      <c r="A25" s="77">
        <v>41</v>
      </c>
      <c r="B25" s="78">
        <v>19824</v>
      </c>
      <c r="C25" s="79">
        <v>3</v>
      </c>
      <c r="D25" s="79" t="s">
        <v>17</v>
      </c>
      <c r="E25" s="79" t="s">
        <v>50</v>
      </c>
      <c r="F25" s="80">
        <v>0.33711452822327098</v>
      </c>
      <c r="G25" s="79">
        <v>4</v>
      </c>
      <c r="H25" s="81">
        <v>4169</v>
      </c>
      <c r="I25" s="81">
        <v>5586</v>
      </c>
      <c r="J25" s="81">
        <v>377.01288855193332</v>
      </c>
      <c r="K25" s="81">
        <v>5446.9593355996385</v>
      </c>
      <c r="L25" s="108">
        <f t="shared" si="0"/>
        <v>5823.9722241515719</v>
      </c>
      <c r="M25" s="78">
        <v>10.719999999999999</v>
      </c>
      <c r="N25" s="78">
        <v>2.8700000000000045</v>
      </c>
      <c r="O25" s="78">
        <v>11.36</v>
      </c>
      <c r="P25" s="82">
        <v>618.77919999999995</v>
      </c>
      <c r="Q25" s="78">
        <f t="shared" si="1"/>
        <v>70.293317119999998</v>
      </c>
      <c r="R25" s="83">
        <f>+P25/SUM($P$23:$P$25)</f>
        <v>0.18786946106886318</v>
      </c>
      <c r="S25" s="83">
        <f>+SUM($P$23:$P$25)/SUM($P$2:P$43)</f>
        <v>7.5566199474543627E-2</v>
      </c>
      <c r="T25" s="82">
        <f t="shared" si="3"/>
        <v>33.731076860644023</v>
      </c>
      <c r="U25" s="102">
        <f t="shared" si="4"/>
        <v>5446.9593355996385</v>
      </c>
    </row>
    <row r="26" spans="1:21" s="77" customFormat="1" x14ac:dyDescent="0.2">
      <c r="A26" s="77">
        <v>14</v>
      </c>
      <c r="B26" s="78">
        <v>19318</v>
      </c>
      <c r="C26" s="79">
        <v>4</v>
      </c>
      <c r="D26" s="79" t="s">
        <v>21</v>
      </c>
      <c r="E26" s="79" t="s">
        <v>23</v>
      </c>
      <c r="F26" s="80">
        <v>0.41933872644412501</v>
      </c>
      <c r="G26" s="79">
        <v>1</v>
      </c>
      <c r="H26" s="81">
        <v>6157</v>
      </c>
      <c r="I26" s="81">
        <v>7046</v>
      </c>
      <c r="J26" s="81">
        <v>4155.7870370370365</v>
      </c>
      <c r="K26" s="81">
        <v>2910.8493861444026</v>
      </c>
      <c r="L26" s="109">
        <f t="shared" si="0"/>
        <v>7066.6364231814387</v>
      </c>
      <c r="M26" s="78">
        <v>48.32</v>
      </c>
      <c r="N26" s="78">
        <v>10.89</v>
      </c>
      <c r="O26" s="78">
        <v>97.34</v>
      </c>
      <c r="P26" s="82">
        <v>6879.0178000000005</v>
      </c>
      <c r="Q26" s="78">
        <f t="shared" si="1"/>
        <v>6696.0359265200004</v>
      </c>
      <c r="R26" s="83">
        <f>+P26/SUM($P$26:$P$28)</f>
        <v>0.44044729967895258</v>
      </c>
      <c r="S26" s="83">
        <f>+SUM($P$26:$P$28)/SUM($P$2:P$43)</f>
        <v>0.35832783430573695</v>
      </c>
      <c r="T26" s="82">
        <f>+S26*R26*2376</f>
        <v>374.99107619897109</v>
      </c>
      <c r="U26" s="102">
        <f t="shared" si="4"/>
        <v>7066.6364231814387</v>
      </c>
    </row>
    <row r="27" spans="1:21" s="77" customFormat="1" x14ac:dyDescent="0.2">
      <c r="A27" s="77">
        <v>19</v>
      </c>
      <c r="B27" s="78">
        <v>19418</v>
      </c>
      <c r="C27" s="79">
        <v>4</v>
      </c>
      <c r="D27" s="79" t="s">
        <v>21</v>
      </c>
      <c r="E27" s="79" t="s">
        <v>46</v>
      </c>
      <c r="F27" s="80">
        <v>0.47117749068342396</v>
      </c>
      <c r="G27" s="79">
        <v>3</v>
      </c>
      <c r="H27" s="81">
        <v>3992</v>
      </c>
      <c r="I27" s="81">
        <v>4962</v>
      </c>
      <c r="J27" s="81">
        <v>593.89440000000002</v>
      </c>
      <c r="K27" s="81">
        <v>4460.5130200538761</v>
      </c>
      <c r="L27" s="108">
        <f t="shared" si="0"/>
        <v>5054.4074200538762</v>
      </c>
      <c r="M27" s="78">
        <v>63.85</v>
      </c>
      <c r="N27" s="78">
        <v>3.5300000000000011</v>
      </c>
      <c r="O27" s="78">
        <v>72.12</v>
      </c>
      <c r="P27" s="82">
        <v>3644.9448000000002</v>
      </c>
      <c r="Q27" s="78">
        <f t="shared" si="1"/>
        <v>2628.7341897600004</v>
      </c>
      <c r="R27" s="83">
        <f>+P27/SUM($P$26:$P$28)</f>
        <v>0.23337722641724229</v>
      </c>
      <c r="S27" s="83">
        <f>+SUM($P$26:$P$28)/SUM($P$2:P$43)</f>
        <v>0.35832783430573695</v>
      </c>
      <c r="T27" s="82">
        <f t="shared" si="3"/>
        <v>198.69432133724726</v>
      </c>
      <c r="U27" s="102">
        <f t="shared" si="4"/>
        <v>5054.4074200538762</v>
      </c>
    </row>
    <row r="28" spans="1:21" s="77" customFormat="1" x14ac:dyDescent="0.2">
      <c r="A28" s="77">
        <v>39</v>
      </c>
      <c r="B28" s="78">
        <v>19809</v>
      </c>
      <c r="C28" s="79">
        <v>4</v>
      </c>
      <c r="D28" s="79" t="s">
        <v>21</v>
      </c>
      <c r="E28" s="79" t="s">
        <v>22</v>
      </c>
      <c r="F28" s="80">
        <v>0.43387672654207698</v>
      </c>
      <c r="G28" s="79">
        <v>11</v>
      </c>
      <c r="H28" s="81">
        <v>5780</v>
      </c>
      <c r="I28" s="81">
        <v>6974</v>
      </c>
      <c r="J28" s="81">
        <v>1841.1498563676987</v>
      </c>
      <c r="K28" s="81">
        <v>5264.9228597358078</v>
      </c>
      <c r="L28" s="108">
        <f t="shared" si="0"/>
        <v>7106.0727161035065</v>
      </c>
      <c r="M28" s="78">
        <v>53.91</v>
      </c>
      <c r="N28" s="78">
        <v>5.9500000000000028</v>
      </c>
      <c r="O28" s="78">
        <v>71.69</v>
      </c>
      <c r="P28" s="82">
        <v>5094.2913999999992</v>
      </c>
      <c r="Q28" s="78">
        <f t="shared" si="1"/>
        <v>3652.0975046599992</v>
      </c>
      <c r="R28" s="83">
        <f>+P28/SUM($P$26:$P$28)</f>
        <v>0.32617547390380508</v>
      </c>
      <c r="S28" s="83">
        <f>+SUM($P$26:$P$28)/SUM($P$2:P$43)</f>
        <v>0.35832783430573695</v>
      </c>
      <c r="T28" s="82">
        <f t="shared" si="3"/>
        <v>277.70153677421263</v>
      </c>
      <c r="U28" s="102">
        <f t="shared" si="4"/>
        <v>7106.0727161035065</v>
      </c>
    </row>
    <row r="29" spans="1:21" s="77" customFormat="1" x14ac:dyDescent="0.2">
      <c r="A29" s="77">
        <v>3</v>
      </c>
      <c r="B29" s="78">
        <v>19050</v>
      </c>
      <c r="C29" s="79">
        <v>5</v>
      </c>
      <c r="D29" s="79" t="s">
        <v>24</v>
      </c>
      <c r="E29" s="79" t="s">
        <v>25</v>
      </c>
      <c r="F29" s="80">
        <v>0.60319183180066704</v>
      </c>
      <c r="G29" s="79">
        <v>13</v>
      </c>
      <c r="H29" s="81">
        <v>7488</v>
      </c>
      <c r="I29" s="81">
        <v>8717</v>
      </c>
      <c r="J29" s="81">
        <v>951.46037037037036</v>
      </c>
      <c r="K29" s="81">
        <v>7912.7967923562528</v>
      </c>
      <c r="L29" s="108">
        <f t="shared" si="0"/>
        <v>8864.2571627266225</v>
      </c>
      <c r="M29" s="78">
        <v>10.150000000000006</v>
      </c>
      <c r="N29" s="78">
        <v>2.2199999999999989</v>
      </c>
      <c r="O29" s="78">
        <v>11.17</v>
      </c>
      <c r="P29" s="82">
        <v>990.10880000000009</v>
      </c>
      <c r="Q29" s="78">
        <f t="shared" si="1"/>
        <v>110.59515296000001</v>
      </c>
      <c r="R29" s="83">
        <f t="shared" ref="R29:R35" si="6">+P29/SUM($P$29:$P$35)</f>
        <v>0.22813128429744003</v>
      </c>
      <c r="S29" s="83">
        <f>+SUM($P$29:$P$35)/SUM($P$2:P$43)</f>
        <v>9.9574042362755744E-2</v>
      </c>
      <c r="T29" s="82">
        <f t="shared" si="3"/>
        <v>53.973107100561926</v>
      </c>
      <c r="U29" s="102">
        <f t="shared" si="4"/>
        <v>8864.2571627266225</v>
      </c>
    </row>
    <row r="30" spans="1:21" s="77" customFormat="1" x14ac:dyDescent="0.2">
      <c r="A30" s="77">
        <v>4</v>
      </c>
      <c r="B30" s="78">
        <v>19075</v>
      </c>
      <c r="C30" s="79">
        <v>5</v>
      </c>
      <c r="D30" s="79" t="s">
        <v>24</v>
      </c>
      <c r="E30" s="79" t="s">
        <v>26</v>
      </c>
      <c r="F30" s="80">
        <v>0.327033319685678</v>
      </c>
      <c r="G30" s="79">
        <v>9</v>
      </c>
      <c r="H30" s="81">
        <v>6722</v>
      </c>
      <c r="I30" s="81">
        <v>8193</v>
      </c>
      <c r="J30" s="81">
        <v>2038.1531615056556</v>
      </c>
      <c r="K30" s="81">
        <v>6283.4747056951956</v>
      </c>
      <c r="L30" s="109">
        <f t="shared" si="0"/>
        <v>8321.6278672008521</v>
      </c>
      <c r="M30" s="78">
        <v>4.5400000000000063</v>
      </c>
      <c r="N30" s="78">
        <v>0.76999999999999602</v>
      </c>
      <c r="O30" s="78">
        <v>5.79</v>
      </c>
      <c r="P30" s="82">
        <v>363.78570000000002</v>
      </c>
      <c r="Q30" s="78">
        <f t="shared" si="1"/>
        <v>21.06319203</v>
      </c>
      <c r="R30" s="83">
        <f t="shared" si="6"/>
        <v>8.3819979127590052E-2</v>
      </c>
      <c r="S30" s="83">
        <f>+SUM($P$29:$P$35)/SUM($P$2:P$43)</f>
        <v>9.9574042362755744E-2</v>
      </c>
      <c r="T30" s="82">
        <f t="shared" si="3"/>
        <v>19.830794906330386</v>
      </c>
      <c r="U30" s="102">
        <f t="shared" si="4"/>
        <v>6283.4747056951956</v>
      </c>
    </row>
    <row r="31" spans="1:21" s="77" customFormat="1" x14ac:dyDescent="0.2">
      <c r="A31" s="77">
        <v>5</v>
      </c>
      <c r="B31" s="78">
        <v>19100</v>
      </c>
      <c r="C31" s="79">
        <v>5</v>
      </c>
      <c r="D31" s="79" t="s">
        <v>24</v>
      </c>
      <c r="E31" s="79" t="s">
        <v>43</v>
      </c>
      <c r="F31" s="80">
        <v>0.329219179632387</v>
      </c>
      <c r="G31" s="79">
        <v>14</v>
      </c>
      <c r="H31" s="81">
        <v>12670</v>
      </c>
      <c r="I31" s="81">
        <v>15456</v>
      </c>
      <c r="J31" s="81">
        <v>1795.9609561752986</v>
      </c>
      <c r="K31" s="81">
        <v>13232.094768075573</v>
      </c>
      <c r="L31" s="108">
        <f t="shared" si="0"/>
        <v>15028.055724250871</v>
      </c>
      <c r="M31" s="78">
        <v>8.4099999999999966</v>
      </c>
      <c r="N31" s="78">
        <v>0.89000000000000057</v>
      </c>
      <c r="O31" s="78">
        <v>9.3800000000000008</v>
      </c>
      <c r="P31" s="82">
        <v>1241.1616000000001</v>
      </c>
      <c r="Q31" s="78">
        <f t="shared" si="1"/>
        <v>116.42095808000002</v>
      </c>
      <c r="R31" s="83">
        <f t="shared" si="6"/>
        <v>0.28597643999191358</v>
      </c>
      <c r="S31" s="83">
        <f>+SUM($P$29:$P$35)/SUM($P$2:P$43)</f>
        <v>9.9574042362755744E-2</v>
      </c>
      <c r="T31" s="82">
        <f t="shared" si="3"/>
        <v>67.658572437599588</v>
      </c>
      <c r="U31" s="102">
        <f t="shared" si="4"/>
        <v>13232.094768075573</v>
      </c>
    </row>
    <row r="32" spans="1:21" s="77" customFormat="1" x14ac:dyDescent="0.2">
      <c r="A32" s="77">
        <v>12</v>
      </c>
      <c r="B32" s="78">
        <v>19290</v>
      </c>
      <c r="C32" s="79">
        <v>5</v>
      </c>
      <c r="D32" s="79" t="s">
        <v>24</v>
      </c>
      <c r="E32" s="79" t="s">
        <v>29</v>
      </c>
      <c r="F32" s="80">
        <v>0.29471862176479996</v>
      </c>
      <c r="G32" s="79">
        <v>2</v>
      </c>
      <c r="H32" s="81">
        <v>1432</v>
      </c>
      <c r="I32" s="81">
        <v>1928</v>
      </c>
      <c r="J32" s="81">
        <v>408.33006535947715</v>
      </c>
      <c r="K32" s="81">
        <v>1558.0882352941176</v>
      </c>
      <c r="L32" s="109">
        <f t="shared" si="0"/>
        <v>1966.4183006535948</v>
      </c>
      <c r="M32" s="78">
        <v>2.1599999999999966</v>
      </c>
      <c r="N32" s="78">
        <v>2.4000000000000057</v>
      </c>
      <c r="O32" s="78">
        <v>2.09</v>
      </c>
      <c r="P32" s="82">
        <v>32.562199999999997</v>
      </c>
      <c r="Q32" s="78">
        <f t="shared" si="1"/>
        <v>0.68054997999999989</v>
      </c>
      <c r="R32" s="83">
        <f t="shared" si="6"/>
        <v>7.5026668842354503E-3</v>
      </c>
      <c r="S32" s="83">
        <f>+SUM($P$29:$P$35)/SUM($P$2:P$43)</f>
        <v>9.9574042362755744E-2</v>
      </c>
      <c r="T32" s="82">
        <f t="shared" si="3"/>
        <v>1.7750403875108649</v>
      </c>
      <c r="U32" s="102">
        <f t="shared" si="4"/>
        <v>1558.0882352941176</v>
      </c>
    </row>
    <row r="33" spans="1:21" s="77" customFormat="1" x14ac:dyDescent="0.2">
      <c r="A33" s="77">
        <v>20</v>
      </c>
      <c r="B33" s="78">
        <v>19450</v>
      </c>
      <c r="C33" s="79">
        <v>5</v>
      </c>
      <c r="D33" s="79" t="s">
        <v>24</v>
      </c>
      <c r="E33" s="79" t="s">
        <v>30</v>
      </c>
      <c r="F33" s="80">
        <v>0.373652221836276</v>
      </c>
      <c r="G33" s="79">
        <v>7</v>
      </c>
      <c r="H33" s="81">
        <v>4761</v>
      </c>
      <c r="I33" s="81">
        <v>7116</v>
      </c>
      <c r="J33" s="81">
        <v>2049.5205778599025</v>
      </c>
      <c r="K33" s="81">
        <v>5191.2234837167607</v>
      </c>
      <c r="L33" s="109">
        <f t="shared" si="0"/>
        <v>7240.7440615766627</v>
      </c>
      <c r="M33" s="78">
        <v>5.0999999999999943</v>
      </c>
      <c r="N33" s="78">
        <v>1.4000000000000057</v>
      </c>
      <c r="O33" s="78">
        <v>7.2</v>
      </c>
      <c r="P33" s="82">
        <v>373.75200000000007</v>
      </c>
      <c r="Q33" s="78">
        <f t="shared" si="1"/>
        <v>26.910144000000006</v>
      </c>
      <c r="R33" s="83">
        <f t="shared" si="6"/>
        <v>8.6116317488276861E-2</v>
      </c>
      <c r="S33" s="83">
        <f>+SUM($P$29:$P$35)/SUM($P$2:P$43)</f>
        <v>9.9574042362755744E-2</v>
      </c>
      <c r="T33" s="82">
        <f t="shared" si="3"/>
        <v>20.374080833388433</v>
      </c>
      <c r="U33" s="102">
        <f t="shared" si="4"/>
        <v>5191.2234837167607</v>
      </c>
    </row>
    <row r="34" spans="1:21" s="77" customFormat="1" x14ac:dyDescent="0.2">
      <c r="A34" s="77">
        <v>25</v>
      </c>
      <c r="B34" s="78">
        <v>19532</v>
      </c>
      <c r="C34" s="79">
        <v>5</v>
      </c>
      <c r="D34" s="79" t="s">
        <v>24</v>
      </c>
      <c r="E34" s="79" t="s">
        <v>28</v>
      </c>
      <c r="F34" s="80">
        <v>0.36516860719931299</v>
      </c>
      <c r="G34" s="79">
        <v>22</v>
      </c>
      <c r="H34" s="81">
        <v>8995</v>
      </c>
      <c r="I34" s="81">
        <v>11636</v>
      </c>
      <c r="J34" s="81">
        <v>4387.8064001161019</v>
      </c>
      <c r="K34" s="81">
        <v>7448.0643343304282</v>
      </c>
      <c r="L34" s="108">
        <f t="shared" si="0"/>
        <v>11835.870734446529</v>
      </c>
      <c r="M34" s="78">
        <v>9.0300000000000011</v>
      </c>
      <c r="N34" s="78">
        <v>1.0400000000000063</v>
      </c>
      <c r="O34" s="78">
        <v>14.52</v>
      </c>
      <c r="P34" s="82">
        <v>1081.4495999999999</v>
      </c>
      <c r="Q34" s="78">
        <f t="shared" si="1"/>
        <v>157.02648191999998</v>
      </c>
      <c r="R34" s="83">
        <f t="shared" si="6"/>
        <v>0.2491771471488313</v>
      </c>
      <c r="S34" s="83">
        <f>+SUM($P$29:$P$35)/SUM($P$2:P$43)</f>
        <v>9.9574042362755744E-2</v>
      </c>
      <c r="T34" s="82">
        <f t="shared" si="3"/>
        <v>58.952304115123361</v>
      </c>
      <c r="U34" s="102">
        <f t="shared" si="4"/>
        <v>7448.0643343304282</v>
      </c>
    </row>
    <row r="35" spans="1:21" s="77" customFormat="1" x14ac:dyDescent="0.2">
      <c r="A35" s="77">
        <v>37</v>
      </c>
      <c r="B35" s="78">
        <v>19785</v>
      </c>
      <c r="C35" s="79">
        <v>5</v>
      </c>
      <c r="D35" s="79" t="s">
        <v>24</v>
      </c>
      <c r="E35" s="79" t="s">
        <v>31</v>
      </c>
      <c r="F35" s="80">
        <v>0.32330948034611501</v>
      </c>
      <c r="G35" s="79">
        <v>5</v>
      </c>
      <c r="H35" s="81">
        <v>2121</v>
      </c>
      <c r="I35" s="81">
        <v>2722</v>
      </c>
      <c r="J35" s="81">
        <v>601.0214329454991</v>
      </c>
      <c r="K35" s="81">
        <v>2170.7134674134418</v>
      </c>
      <c r="L35" s="108">
        <f t="shared" si="0"/>
        <v>2771.7349003589406</v>
      </c>
      <c r="M35" s="78">
        <v>10.420000000000002</v>
      </c>
      <c r="N35" s="78">
        <v>4.8499999999999943</v>
      </c>
      <c r="O35" s="78">
        <v>11.85</v>
      </c>
      <c r="P35" s="82">
        <v>257.26349999999996</v>
      </c>
      <c r="Q35" s="78">
        <f t="shared" si="1"/>
        <v>30.485724749999996</v>
      </c>
      <c r="R35" s="83">
        <f t="shared" si="6"/>
        <v>5.927616506171287E-2</v>
      </c>
      <c r="S35" s="83">
        <f>+SUM($P$29:$P$35)/SUM($P$2:P$43)</f>
        <v>9.9574042362755744E-2</v>
      </c>
      <c r="T35" s="82">
        <f t="shared" si="3"/>
        <v>14.024024873393117</v>
      </c>
      <c r="U35" s="102">
        <f t="shared" si="4"/>
        <v>2170.7134674134418</v>
      </c>
    </row>
    <row r="36" spans="1:21" s="77" customFormat="1" x14ac:dyDescent="0.2">
      <c r="A36" s="77">
        <v>2</v>
      </c>
      <c r="B36" s="78">
        <v>19022</v>
      </c>
      <c r="C36" s="79">
        <v>6</v>
      </c>
      <c r="D36" s="79" t="s">
        <v>32</v>
      </c>
      <c r="E36" s="79" t="s">
        <v>35</v>
      </c>
      <c r="F36" s="80">
        <v>0.30783057613829601</v>
      </c>
      <c r="G36" s="79">
        <v>9</v>
      </c>
      <c r="H36" s="81">
        <v>5219</v>
      </c>
      <c r="I36" s="81">
        <v>7068</v>
      </c>
      <c r="J36" s="81">
        <v>629.10846953937585</v>
      </c>
      <c r="K36" s="81">
        <v>6329.6937379407118</v>
      </c>
      <c r="L36" s="109">
        <f t="shared" si="0"/>
        <v>6958.8022074800874</v>
      </c>
      <c r="M36" s="78">
        <v>17.53</v>
      </c>
      <c r="N36" s="78">
        <v>3.480000000000004</v>
      </c>
      <c r="O36" s="78">
        <v>18.8</v>
      </c>
      <c r="P36" s="82">
        <v>1190.04</v>
      </c>
      <c r="Q36" s="78">
        <f t="shared" si="1"/>
        <v>223.72752</v>
      </c>
      <c r="R36" s="83">
        <f>+P36/SUM($P$36:$P$40)</f>
        <v>0.51019587905059938</v>
      </c>
      <c r="S36" s="83">
        <f>+SUM($P$36:$P$40)/SUM($P$2:P$43)</f>
        <v>5.3514648367909555E-2</v>
      </c>
      <c r="T36" s="82">
        <f t="shared" si="3"/>
        <v>64.871816485170825</v>
      </c>
      <c r="U36" s="102">
        <f t="shared" si="4"/>
        <v>6329.6937379407118</v>
      </c>
    </row>
    <row r="37" spans="1:21" s="77" customFormat="1" x14ac:dyDescent="0.2">
      <c r="A37" s="77">
        <v>17</v>
      </c>
      <c r="B37" s="78">
        <v>19392</v>
      </c>
      <c r="C37" s="79">
        <v>6</v>
      </c>
      <c r="D37" s="79" t="s">
        <v>32</v>
      </c>
      <c r="E37" s="79" t="s">
        <v>36</v>
      </c>
      <c r="F37" s="80">
        <v>0.32603958546147199</v>
      </c>
      <c r="G37" s="79">
        <v>3</v>
      </c>
      <c r="H37" s="81">
        <v>3078</v>
      </c>
      <c r="I37" s="81">
        <v>3603</v>
      </c>
      <c r="J37" s="81">
        <v>747.08122941822182</v>
      </c>
      <c r="K37" s="81">
        <v>2821.4278032933798</v>
      </c>
      <c r="L37" s="108">
        <f t="shared" si="0"/>
        <v>3568.5090327116018</v>
      </c>
      <c r="M37" s="78">
        <v>7.6299999999999955</v>
      </c>
      <c r="N37" s="78">
        <v>1.6599999999999966</v>
      </c>
      <c r="O37" s="78">
        <v>8.91</v>
      </c>
      <c r="P37" s="82">
        <v>251.3511</v>
      </c>
      <c r="Q37" s="78">
        <f t="shared" si="1"/>
        <v>22.39538301</v>
      </c>
      <c r="R37" s="83">
        <f>+P37/SUM($P$36:$P$40)</f>
        <v>0.10775965128469221</v>
      </c>
      <c r="S37" s="83">
        <f>+SUM($P$36:$P$40)/SUM($P$2:P$43)</f>
        <v>5.3514648367909555E-2</v>
      </c>
      <c r="T37" s="82">
        <f t="shared" si="3"/>
        <v>13.701726355875284</v>
      </c>
      <c r="U37" s="102">
        <f t="shared" si="4"/>
        <v>2821.4278032933798</v>
      </c>
    </row>
    <row r="38" spans="1:21" s="77" customFormat="1" x14ac:dyDescent="0.2">
      <c r="A38" s="77">
        <v>18</v>
      </c>
      <c r="B38" s="78">
        <v>19397</v>
      </c>
      <c r="C38" s="79">
        <v>6</v>
      </c>
      <c r="D38" s="79" t="s">
        <v>32</v>
      </c>
      <c r="E38" s="79" t="s">
        <v>34</v>
      </c>
      <c r="F38" s="80">
        <v>0.31551532433975099</v>
      </c>
      <c r="G38" s="79">
        <v>12</v>
      </c>
      <c r="H38" s="81">
        <v>5417</v>
      </c>
      <c r="I38" s="81">
        <v>7780</v>
      </c>
      <c r="J38" s="81">
        <v>525.50480769230762</v>
      </c>
      <c r="K38" s="81">
        <v>7298.2931247602401</v>
      </c>
      <c r="L38" s="109">
        <f t="shared" si="0"/>
        <v>7823.7979324525477</v>
      </c>
      <c r="M38" s="78">
        <v>4.519999999999996</v>
      </c>
      <c r="N38" s="78">
        <v>1.1500000000000057</v>
      </c>
      <c r="O38" s="78">
        <v>4.76</v>
      </c>
      <c r="P38" s="82">
        <v>347.38479999999998</v>
      </c>
      <c r="Q38" s="78">
        <f t="shared" si="1"/>
        <v>16.535516479999998</v>
      </c>
      <c r="R38" s="83">
        <f>+P38/SUM($P$36:$P$40)</f>
        <v>0.14893137491581515</v>
      </c>
      <c r="S38" s="83">
        <f>+SUM($P$36:$P$40)/SUM($P$2:P$43)</f>
        <v>5.3514648367909555E-2</v>
      </c>
      <c r="T38" s="82">
        <f t="shared" si="3"/>
        <v>18.936744139136305</v>
      </c>
      <c r="U38" s="102">
        <f t="shared" si="4"/>
        <v>7298.2931247602401</v>
      </c>
    </row>
    <row r="39" spans="1:21" s="77" customFormat="1" x14ac:dyDescent="0.2">
      <c r="A39" s="77">
        <v>30</v>
      </c>
      <c r="B39" s="78">
        <v>19622</v>
      </c>
      <c r="C39" s="79">
        <v>6</v>
      </c>
      <c r="D39" s="79" t="s">
        <v>32</v>
      </c>
      <c r="E39" s="79" t="s">
        <v>37</v>
      </c>
      <c r="F39" s="80">
        <v>0.31077986216924403</v>
      </c>
      <c r="G39" s="79">
        <v>4</v>
      </c>
      <c r="H39" s="81">
        <v>3237</v>
      </c>
      <c r="I39" s="81">
        <v>3855</v>
      </c>
      <c r="J39" s="81">
        <v>385.70837166513343</v>
      </c>
      <c r="K39" s="81">
        <v>3490.710435117443</v>
      </c>
      <c r="L39" s="109">
        <f t="shared" si="0"/>
        <v>3876.4188067825762</v>
      </c>
      <c r="M39" s="78">
        <v>3.5799999999999983</v>
      </c>
      <c r="N39" s="78">
        <v>2.1099999999999994</v>
      </c>
      <c r="O39" s="78">
        <v>3.75</v>
      </c>
      <c r="P39" s="82">
        <v>130.91249999999999</v>
      </c>
      <c r="Q39" s="78">
        <f t="shared" si="1"/>
        <v>4.90921875</v>
      </c>
      <c r="R39" s="83">
        <f>+P39/SUM($P$36:$P$40)</f>
        <v>5.6125019340704171E-2</v>
      </c>
      <c r="S39" s="83">
        <f>+SUM($P$36:$P$40)/SUM($P$2:P$43)</f>
        <v>5.3514648367909555E-2</v>
      </c>
      <c r="T39" s="82">
        <f t="shared" si="3"/>
        <v>7.1363413629919377</v>
      </c>
      <c r="U39" s="102">
        <f t="shared" si="4"/>
        <v>3490.710435117443</v>
      </c>
    </row>
    <row r="40" spans="1:21" s="77" customFormat="1" x14ac:dyDescent="0.2">
      <c r="A40" s="77">
        <v>35</v>
      </c>
      <c r="B40" s="78">
        <v>19760</v>
      </c>
      <c r="C40" s="79">
        <v>6</v>
      </c>
      <c r="D40" s="79" t="s">
        <v>32</v>
      </c>
      <c r="E40" s="79" t="s">
        <v>33</v>
      </c>
      <c r="F40" s="80">
        <v>0.35262064584415903</v>
      </c>
      <c r="G40" s="79">
        <v>9</v>
      </c>
      <c r="H40" s="81">
        <v>3514</v>
      </c>
      <c r="I40" s="81">
        <v>4574</v>
      </c>
      <c r="J40" s="81">
        <v>199.23992994746061</v>
      </c>
      <c r="K40" s="81">
        <v>4463.2863554757632</v>
      </c>
      <c r="L40" s="108">
        <f t="shared" si="0"/>
        <v>4662.5262854232242</v>
      </c>
      <c r="M40" s="78">
        <v>8.8199999999999932</v>
      </c>
      <c r="N40" s="78">
        <v>0</v>
      </c>
      <c r="O40" s="78">
        <v>9.25</v>
      </c>
      <c r="P40" s="82">
        <v>412.82749999999999</v>
      </c>
      <c r="Q40" s="78">
        <f t="shared" si="1"/>
        <v>38.186543749999998</v>
      </c>
      <c r="R40" s="83">
        <f>+P40/SUM($P$36:$P$40)</f>
        <v>0.17698807540818909</v>
      </c>
      <c r="S40" s="83">
        <f>+SUM($P$36:$P$40)/SUM($P$2:P$43)</f>
        <v>5.3514648367909555E-2</v>
      </c>
      <c r="T40" s="82">
        <f t="shared" si="3"/>
        <v>22.504176178978742</v>
      </c>
      <c r="U40" s="102">
        <f t="shared" si="4"/>
        <v>4463.2863554757632</v>
      </c>
    </row>
    <row r="41" spans="1:21" s="77" customFormat="1" x14ac:dyDescent="0.2">
      <c r="A41" s="77">
        <v>26</v>
      </c>
      <c r="B41" s="78">
        <v>19533</v>
      </c>
      <c r="C41" s="79">
        <v>7</v>
      </c>
      <c r="D41" s="79" t="s">
        <v>131</v>
      </c>
      <c r="E41" s="79" t="s">
        <v>38</v>
      </c>
      <c r="F41" s="80">
        <v>0.53987447823273893</v>
      </c>
      <c r="G41" s="79">
        <v>7</v>
      </c>
      <c r="H41" s="81">
        <v>2172</v>
      </c>
      <c r="I41" s="81">
        <v>2815</v>
      </c>
      <c r="J41" s="81">
        <v>733.87719298245611</v>
      </c>
      <c r="K41" s="81">
        <v>2223.5237242614144</v>
      </c>
      <c r="L41" s="109">
        <f t="shared" si="0"/>
        <v>2957.4009172438705</v>
      </c>
      <c r="M41" s="78">
        <v>44.94</v>
      </c>
      <c r="N41" s="78">
        <v>9.8700000000000045</v>
      </c>
      <c r="O41" s="78">
        <v>57.03</v>
      </c>
      <c r="P41" s="82">
        <v>1686.3770999999999</v>
      </c>
      <c r="Q41" s="78">
        <f t="shared" si="1"/>
        <v>961.74086012999987</v>
      </c>
      <c r="R41" s="83">
        <f>+P41/SUM($P$41:$P$43)</f>
        <v>0.70048492125917527</v>
      </c>
      <c r="S41" s="83">
        <f>+SUM($P$41:$P$43)/SUM($P$2:P$43)</f>
        <v>5.5233678579424156E-2</v>
      </c>
      <c r="T41" s="82">
        <f t="shared" si="3"/>
        <v>91.928292961576574</v>
      </c>
      <c r="U41" s="102">
        <f t="shared" si="4"/>
        <v>2957.4009172438705</v>
      </c>
    </row>
    <row r="42" spans="1:21" s="77" customFormat="1" x14ac:dyDescent="0.2">
      <c r="A42" s="77">
        <v>31</v>
      </c>
      <c r="B42" s="78">
        <v>19693</v>
      </c>
      <c r="C42" s="79">
        <v>7</v>
      </c>
      <c r="D42" s="79" t="s">
        <v>131</v>
      </c>
      <c r="E42" s="79" t="s">
        <v>39</v>
      </c>
      <c r="F42" s="80">
        <v>0.36247414065903</v>
      </c>
      <c r="G42" s="79">
        <v>6</v>
      </c>
      <c r="H42" s="81">
        <v>2999</v>
      </c>
      <c r="I42" s="81">
        <v>4204</v>
      </c>
      <c r="J42" s="81">
        <v>291</v>
      </c>
      <c r="K42" s="81">
        <v>3956.3931906614789</v>
      </c>
      <c r="L42" s="108">
        <f t="shared" si="0"/>
        <v>4247.3931906614789</v>
      </c>
      <c r="M42" s="78">
        <v>7.5699999999999932</v>
      </c>
      <c r="N42" s="78">
        <v>5.5</v>
      </c>
      <c r="O42" s="78">
        <v>7.72</v>
      </c>
      <c r="P42" s="82">
        <v>305.40319999999997</v>
      </c>
      <c r="Q42" s="78">
        <f t="shared" si="1"/>
        <v>23.577127039999997</v>
      </c>
      <c r="R42" s="83">
        <f>+P42/SUM($P$41:$P$43)</f>
        <v>0.12685794684018192</v>
      </c>
      <c r="S42" s="83">
        <f>+SUM($P$41:$P$43)/SUM($P$2:P$43)</f>
        <v>5.5233678579424156E-2</v>
      </c>
      <c r="T42" s="82">
        <f t="shared" si="3"/>
        <v>16.648230600974692</v>
      </c>
      <c r="U42" s="102">
        <f t="shared" si="4"/>
        <v>3956.3931906614789</v>
      </c>
    </row>
    <row r="43" spans="1:21" s="77" customFormat="1" x14ac:dyDescent="0.2">
      <c r="A43" s="77">
        <v>33</v>
      </c>
      <c r="B43" s="78">
        <v>19701</v>
      </c>
      <c r="C43" s="79">
        <v>7</v>
      </c>
      <c r="D43" s="79" t="s">
        <v>131</v>
      </c>
      <c r="E43" s="79" t="s">
        <v>40</v>
      </c>
      <c r="F43" s="80">
        <v>0.529461753707683</v>
      </c>
      <c r="G43" s="79">
        <v>4</v>
      </c>
      <c r="H43" s="81">
        <v>1533</v>
      </c>
      <c r="I43" s="81">
        <v>1993</v>
      </c>
      <c r="J43" s="81">
        <v>333.99107142857144</v>
      </c>
      <c r="K43" s="81">
        <v>1674.9389329333621</v>
      </c>
      <c r="L43" s="108">
        <f t="shared" si="0"/>
        <v>2008.9300043619337</v>
      </c>
      <c r="M43" s="78">
        <v>2.7600000000000051</v>
      </c>
      <c r="N43" s="78">
        <v>0.51000000000000512</v>
      </c>
      <c r="O43" s="78">
        <v>20.69</v>
      </c>
      <c r="P43" s="82">
        <v>415.66210000000001</v>
      </c>
      <c r="Q43" s="78">
        <f t="shared" si="1"/>
        <v>86.000488490000009</v>
      </c>
      <c r="R43" s="83">
        <f>+P43/SUM($P$41:$P$43)</f>
        <v>0.17265713190064277</v>
      </c>
      <c r="S43" s="83">
        <f>+SUM($P$41:$P$43)/SUM($P$2:P$43)</f>
        <v>5.5233678579424156E-2</v>
      </c>
      <c r="T43" s="82">
        <f t="shared" si="3"/>
        <v>22.658696742160537</v>
      </c>
      <c r="U43" s="102">
        <f t="shared" si="4"/>
        <v>2008.9300043619337</v>
      </c>
    </row>
  </sheetData>
  <sortState xmlns:xlrd2="http://schemas.microsoft.com/office/spreadsheetml/2017/richdata2" ref="A2:L43">
    <sortCondition ref="A2:A43"/>
  </sortState>
  <conditionalFormatting sqref="F2:F43">
    <cfRule type="cellIs" dxfId="4" priority="5" operator="greaterThan">
      <formula>0.4</formula>
    </cfRule>
  </conditionalFormatting>
  <conditionalFormatting sqref="L3">
    <cfRule type="expression" dxfId="3" priority="3" stopIfTrue="1">
      <formula>$A2&lt;&gt;$A3</formula>
    </cfRule>
  </conditionalFormatting>
  <conditionalFormatting sqref="L2">
    <cfRule type="expression" dxfId="2" priority="4" stopIfTrue="1">
      <formula>#REF!&lt;&gt;$A2</formula>
    </cfRule>
  </conditionalFormatting>
  <conditionalFormatting sqref="L5 L7 L9 L11 L13 L15 L17 L19 L21 L23 L25 L27 L29 L31 L33 L35 L37 L39 L41 L43">
    <cfRule type="expression" dxfId="1" priority="1" stopIfTrue="1">
      <formula>$A4&lt;&gt;$A5</formula>
    </cfRule>
  </conditionalFormatting>
  <conditionalFormatting sqref="L4 L6 L8 L10 L12 L14 L16 L18 L20 L22 L24 L26 L28 L30 L32 L34 L36 L38 L40 L42">
    <cfRule type="expression" dxfId="0" priority="2" stopIfTrue="1">
      <formula>#REF!&lt;&gt;$A4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0"/>
  <sheetViews>
    <sheetView topLeftCell="F28" zoomScale="150" workbookViewId="0">
      <selection activeCell="M3" sqref="M3:M10"/>
    </sheetView>
  </sheetViews>
  <sheetFormatPr baseColWidth="10" defaultRowHeight="16" x14ac:dyDescent="0.2"/>
  <cols>
    <col min="1" max="2" width="13.6640625" customWidth="1"/>
    <col min="3" max="3" width="22.83203125" customWidth="1"/>
    <col min="4" max="4" width="18.1640625" customWidth="1"/>
    <col min="5" max="5" width="14.5" customWidth="1"/>
    <col min="6" max="6" width="14.1640625" customWidth="1"/>
    <col min="7" max="7" width="15.33203125" hidden="1" customWidth="1"/>
    <col min="8" max="8" width="16.1640625" customWidth="1"/>
    <col min="9" max="9" width="11.6640625" style="53" hidden="1" customWidth="1"/>
    <col min="10" max="11" width="10.83203125" hidden="1" customWidth="1"/>
    <col min="12" max="12" width="0" hidden="1" customWidth="1"/>
    <col min="17" max="17" width="0" hidden="1" customWidth="1"/>
    <col min="18" max="18" width="15.83203125" customWidth="1"/>
  </cols>
  <sheetData>
    <row r="1" spans="1:21" ht="16" customHeight="1" x14ac:dyDescent="0.2">
      <c r="A1" s="146" t="s">
        <v>130</v>
      </c>
      <c r="B1" s="148" t="s">
        <v>122</v>
      </c>
      <c r="C1" s="146" t="s">
        <v>41</v>
      </c>
      <c r="D1" s="146" t="s">
        <v>185</v>
      </c>
      <c r="E1" s="146"/>
      <c r="F1" s="146"/>
      <c r="G1" s="146"/>
      <c r="H1" s="103"/>
      <c r="I1" s="141" t="s">
        <v>189</v>
      </c>
    </row>
    <row r="2" spans="1:21" ht="64.25" customHeight="1" x14ac:dyDescent="0.2">
      <c r="A2" s="146"/>
      <c r="B2" s="149"/>
      <c r="C2" s="146"/>
      <c r="D2" s="113" t="s">
        <v>186</v>
      </c>
      <c r="E2" s="113" t="s">
        <v>187</v>
      </c>
      <c r="F2" s="113" t="s">
        <v>188</v>
      </c>
      <c r="G2" s="91" t="s">
        <v>207</v>
      </c>
      <c r="H2" s="104" t="s">
        <v>205</v>
      </c>
      <c r="I2" s="142"/>
      <c r="J2" s="103"/>
      <c r="K2" s="103"/>
      <c r="L2" s="103" t="s">
        <v>208</v>
      </c>
      <c r="M2" s="103" t="s">
        <v>209</v>
      </c>
      <c r="N2" s="103" t="s">
        <v>210</v>
      </c>
      <c r="O2" s="103" t="s">
        <v>212</v>
      </c>
      <c r="P2" s="103" t="s">
        <v>211</v>
      </c>
      <c r="Q2" s="103"/>
      <c r="R2" s="103" t="s">
        <v>213</v>
      </c>
    </row>
    <row r="3" spans="1:21" x14ac:dyDescent="0.2">
      <c r="A3" s="143" t="s">
        <v>54</v>
      </c>
      <c r="B3" s="30">
        <v>19001</v>
      </c>
      <c r="C3" s="87" t="s">
        <v>42</v>
      </c>
      <c r="D3" s="114">
        <f>+H3</f>
        <v>114.08733476582572</v>
      </c>
      <c r="E3" s="115">
        <v>28</v>
      </c>
      <c r="F3" s="115">
        <v>4</v>
      </c>
      <c r="G3" s="89">
        <f>SUM(D3:F3)</f>
        <v>146.08733476582572</v>
      </c>
      <c r="H3" s="89">
        <v>114.08733476582572</v>
      </c>
      <c r="I3" s="111">
        <v>7.5439631999439936</v>
      </c>
      <c r="J3" s="27">
        <f>+H3*I3</f>
        <v>860.67065505308017</v>
      </c>
      <c r="K3" s="27">
        <f ca="1">+(J3/$J$45*$K$45)</f>
        <v>1386.8849227493706</v>
      </c>
      <c r="L3" s="27">
        <f ca="1">+K3/H3</f>
        <v>12.15634430934927</v>
      </c>
      <c r="M3" s="27">
        <v>19818.364985047963</v>
      </c>
      <c r="N3" s="118">
        <f ca="1">+M3/$K$45</f>
        <v>6.9381500038211447E-2</v>
      </c>
      <c r="O3" s="118">
        <f>+H3/2091</f>
        <v>5.4561135708190205E-2</v>
      </c>
      <c r="P3" s="27">
        <v>173.71222691569488</v>
      </c>
      <c r="Q3" s="110">
        <f t="shared" ref="Q3:Q44" si="0">+H3/M3</f>
        <v>5.7566471730588938E-3</v>
      </c>
      <c r="R3" s="26">
        <v>0.96677826351468799</v>
      </c>
      <c r="S3" s="27">
        <f ca="1">+K3/(1+(M3/SUM($M$3:$M$9)))</f>
        <v>1106.7948324947031</v>
      </c>
      <c r="T3" s="27">
        <f>+M3*(1-R3)</f>
        <v>658.40049910299797</v>
      </c>
      <c r="U3" s="27">
        <f>+P3*H3</f>
        <v>19818.364985047963</v>
      </c>
    </row>
    <row r="4" spans="1:21" x14ac:dyDescent="0.2">
      <c r="A4" s="143"/>
      <c r="B4" s="30">
        <v>19130</v>
      </c>
      <c r="C4" s="88" t="s">
        <v>1</v>
      </c>
      <c r="D4" s="114">
        <f t="shared" ref="D4:D44" si="1">+H4</f>
        <v>62.953565436678524</v>
      </c>
      <c r="E4" s="116">
        <v>1</v>
      </c>
      <c r="F4" s="116"/>
      <c r="G4" s="90">
        <f t="shared" ref="G4:G44" si="2">SUM(D4:F4)</f>
        <v>63.953565436678524</v>
      </c>
      <c r="H4" s="89">
        <v>62.953565436678524</v>
      </c>
      <c r="I4" s="111">
        <v>125.26148334648578</v>
      </c>
      <c r="J4" s="27">
        <f t="shared" ref="J4:J44" si="3">+H4*I4</f>
        <v>7885.6569885484096</v>
      </c>
      <c r="K4" s="27">
        <f t="shared" ref="K4:K44" ca="1" si="4">+J4/$J$45*$K$45</f>
        <v>12706.949771299578</v>
      </c>
      <c r="L4" s="27">
        <f t="shared" ref="L4:L44" ca="1" si="5">+K4/H4</f>
        <v>201.84638762169538</v>
      </c>
      <c r="M4" s="27">
        <v>11642.716768813423</v>
      </c>
      <c r="N4" s="118">
        <f t="shared" ref="N4:N44" ca="1" si="6">+M4/$K$45</f>
        <v>4.0759626465137408E-2</v>
      </c>
      <c r="O4" s="118">
        <f t="shared" ref="O4:O44" si="7">+H4/2091</f>
        <v>3.0106917951544011E-2</v>
      </c>
      <c r="P4" s="27">
        <v>184.941340304612</v>
      </c>
      <c r="Q4" s="110">
        <f t="shared" si="0"/>
        <v>5.4071198919231709E-3</v>
      </c>
      <c r="R4" s="26">
        <v>0.88703134268132744</v>
      </c>
      <c r="S4" s="27">
        <f t="shared" ref="S4:S10" ca="1" si="8">+K4/(1+(M4/SUM($M$3:$M$9)))</f>
        <v>11062.335822984929</v>
      </c>
      <c r="T4" s="27">
        <f t="shared" ref="T4:T44" si="9">+M4*(1-R4)</f>
        <v>1315.2620809144462</v>
      </c>
      <c r="U4" s="27">
        <f t="shared" ref="U4:U44" si="10">+P4*H4</f>
        <v>11642.716768813423</v>
      </c>
    </row>
    <row r="5" spans="1:21" x14ac:dyDescent="0.2">
      <c r="A5" s="143"/>
      <c r="B5" s="30">
        <v>19256</v>
      </c>
      <c r="C5" s="88" t="s">
        <v>2</v>
      </c>
      <c r="D5" s="114">
        <f t="shared" si="1"/>
        <v>117.74652891579554</v>
      </c>
      <c r="E5" s="116">
        <v>1</v>
      </c>
      <c r="F5" s="116">
        <v>1</v>
      </c>
      <c r="G5" s="90">
        <f t="shared" si="2"/>
        <v>119.74652891579554</v>
      </c>
      <c r="H5" s="89">
        <v>117.74652891579554</v>
      </c>
      <c r="I5" s="111">
        <v>71.115662513511992</v>
      </c>
      <c r="J5" s="27">
        <f t="shared" si="3"/>
        <v>8373.6224125131957</v>
      </c>
      <c r="K5" s="27">
        <f t="shared" ca="1" si="4"/>
        <v>13493.257385421764</v>
      </c>
      <c r="L5" s="27">
        <f t="shared" ca="1" si="5"/>
        <v>114.59579751239411</v>
      </c>
      <c r="M5" s="27">
        <v>16809.453083349603</v>
      </c>
      <c r="N5" s="118">
        <f t="shared" ca="1" si="6"/>
        <v>5.8847693572331862E-2</v>
      </c>
      <c r="O5" s="118">
        <f t="shared" si="7"/>
        <v>5.6311108998467495E-2</v>
      </c>
      <c r="P5" s="27">
        <v>142.7596485274789</v>
      </c>
      <c r="Q5" s="110">
        <f t="shared" si="0"/>
        <v>7.0047804846445549E-3</v>
      </c>
      <c r="R5" s="26">
        <v>0.83594277452714649</v>
      </c>
      <c r="S5" s="27">
        <f t="shared" ca="1" si="8"/>
        <v>11108.827281719112</v>
      </c>
      <c r="T5" s="27">
        <f t="shared" si="9"/>
        <v>2757.7122345704383</v>
      </c>
      <c r="U5" s="27">
        <f t="shared" si="10"/>
        <v>16809.453083349603</v>
      </c>
    </row>
    <row r="6" spans="1:21" x14ac:dyDescent="0.2">
      <c r="A6" s="143"/>
      <c r="B6" s="30">
        <v>19473</v>
      </c>
      <c r="C6" s="88" t="s">
        <v>3</v>
      </c>
      <c r="D6" s="114">
        <f t="shared" si="1"/>
        <v>108.00198602709409</v>
      </c>
      <c r="E6" s="116">
        <v>1</v>
      </c>
      <c r="F6" s="116"/>
      <c r="G6" s="90">
        <f t="shared" si="2"/>
        <v>109.00198602709409</v>
      </c>
      <c r="H6" s="89">
        <v>108.00198602709409</v>
      </c>
      <c r="I6" s="111">
        <v>165.24555489457336</v>
      </c>
      <c r="J6" s="27">
        <f t="shared" si="3"/>
        <v>17846.848110763123</v>
      </c>
      <c r="K6" s="27">
        <f t="shared" ca="1" si="4"/>
        <v>28758.415798304362</v>
      </c>
      <c r="L6" s="27">
        <f t="shared" ca="1" si="5"/>
        <v>266.27673116205324</v>
      </c>
      <c r="M6" s="27">
        <v>10390.480063795854</v>
      </c>
      <c r="N6" s="118">
        <f t="shared" ca="1" si="6"/>
        <v>3.6375709776622758E-2</v>
      </c>
      <c r="O6" s="118">
        <f t="shared" si="7"/>
        <v>5.1650878061737966E-2</v>
      </c>
      <c r="P6" s="27">
        <v>96.206379586290481</v>
      </c>
      <c r="Q6" s="110">
        <f t="shared" si="0"/>
        <v>1.0394321086608078E-2</v>
      </c>
      <c r="R6" s="26">
        <v>0.81646577484364147</v>
      </c>
      <c r="S6" s="27">
        <f t="shared" ca="1" si="8"/>
        <v>25389.757470023425</v>
      </c>
      <c r="T6" s="27">
        <f t="shared" si="9"/>
        <v>1907.0087075113629</v>
      </c>
      <c r="U6" s="27">
        <f t="shared" si="10"/>
        <v>10390.480063795854</v>
      </c>
    </row>
    <row r="7" spans="1:21" x14ac:dyDescent="0.2">
      <c r="A7" s="143"/>
      <c r="B7" s="30">
        <v>19548</v>
      </c>
      <c r="C7" s="88" t="s">
        <v>4</v>
      </c>
      <c r="D7" s="114">
        <f t="shared" si="1"/>
        <v>30.045857983500415</v>
      </c>
      <c r="E7" s="116">
        <v>2</v>
      </c>
      <c r="F7" s="116"/>
      <c r="G7" s="90">
        <f t="shared" si="2"/>
        <v>32.045857983500412</v>
      </c>
      <c r="H7" s="89">
        <v>30.045857983500415</v>
      </c>
      <c r="I7" s="111">
        <v>178.7757437070938</v>
      </c>
      <c r="J7" s="27">
        <f t="shared" si="3"/>
        <v>5371.4706063180083</v>
      </c>
      <c r="K7" s="27">
        <f t="shared" ca="1" si="4"/>
        <v>8655.5891654449697</v>
      </c>
      <c r="L7" s="27">
        <f t="shared" ca="1" si="5"/>
        <v>288.07928101764173</v>
      </c>
      <c r="M7" s="27">
        <v>8016.2046558933216</v>
      </c>
      <c r="N7" s="118">
        <f t="shared" ca="1" si="6"/>
        <v>2.8063682551955342E-2</v>
      </c>
      <c r="O7" s="118">
        <f t="shared" si="7"/>
        <v>1.4369133421090585E-2</v>
      </c>
      <c r="P7" s="27">
        <v>266.79899306904116</v>
      </c>
      <c r="Q7" s="110">
        <f t="shared" si="0"/>
        <v>3.7481400829021275E-3</v>
      </c>
      <c r="R7" s="26">
        <v>0.91945696552702505</v>
      </c>
      <c r="S7" s="27">
        <f t="shared" ca="1" si="8"/>
        <v>7851.8693777640801</v>
      </c>
      <c r="T7" s="27">
        <f t="shared" si="9"/>
        <v>645.64944794203814</v>
      </c>
      <c r="U7" s="27">
        <f t="shared" si="10"/>
        <v>8016.2046558933225</v>
      </c>
    </row>
    <row r="8" spans="1:21" x14ac:dyDescent="0.2">
      <c r="A8" s="143"/>
      <c r="B8" s="30">
        <v>19585</v>
      </c>
      <c r="C8" s="88" t="s">
        <v>5</v>
      </c>
      <c r="D8" s="114">
        <f t="shared" si="1"/>
        <v>12.28322761177323</v>
      </c>
      <c r="E8" s="116"/>
      <c r="F8" s="116"/>
      <c r="G8" s="90">
        <f t="shared" si="2"/>
        <v>12.28322761177323</v>
      </c>
      <c r="H8" s="89">
        <v>12.28322761177323</v>
      </c>
      <c r="I8" s="111">
        <v>1258.4314909896307</v>
      </c>
      <c r="J8" s="27">
        <f t="shared" si="3"/>
        <v>15457.600437648785</v>
      </c>
      <c r="K8" s="27">
        <f t="shared" ca="1" si="4"/>
        <v>24908.38146159059</v>
      </c>
      <c r="L8" s="27">
        <f t="shared" ca="1" si="5"/>
        <v>2027.8368397013503</v>
      </c>
      <c r="M8" s="27">
        <v>3676.6615088282501</v>
      </c>
      <c r="N8" s="118">
        <f t="shared" ca="1" si="6"/>
        <v>1.2871510379777195E-2</v>
      </c>
      <c r="O8" s="118">
        <f t="shared" si="7"/>
        <v>5.8743317129475031E-3</v>
      </c>
      <c r="P8" s="27">
        <v>299.32373029579321</v>
      </c>
      <c r="Q8" s="110">
        <f t="shared" si="0"/>
        <v>3.3408644179724577E-3</v>
      </c>
      <c r="R8" s="26">
        <v>0.84319525801952588</v>
      </c>
      <c r="S8" s="27">
        <f t="shared" ca="1" si="8"/>
        <v>23791.423385806058</v>
      </c>
      <c r="T8" s="27">
        <f t="shared" si="9"/>
        <v>576.51795924135445</v>
      </c>
      <c r="U8" s="27">
        <f t="shared" si="10"/>
        <v>3676.6615088282501</v>
      </c>
    </row>
    <row r="9" spans="1:21" x14ac:dyDescent="0.2">
      <c r="A9" s="143"/>
      <c r="B9" s="30">
        <v>19743</v>
      </c>
      <c r="C9" s="88" t="s">
        <v>6</v>
      </c>
      <c r="D9" s="114">
        <f t="shared" si="1"/>
        <v>41.648640342034327</v>
      </c>
      <c r="E9" s="116"/>
      <c r="F9" s="116"/>
      <c r="G9" s="90">
        <f t="shared" si="2"/>
        <v>41.648640342034327</v>
      </c>
      <c r="H9" s="89">
        <v>41.648640342034327</v>
      </c>
      <c r="I9" s="111">
        <v>247.80568069742432</v>
      </c>
      <c r="J9" s="27">
        <f t="shared" si="3"/>
        <v>10320.769670080024</v>
      </c>
      <c r="K9" s="27">
        <f t="shared" ca="1" si="4"/>
        <v>16630.890994790811</v>
      </c>
      <c r="L9" s="27">
        <f t="shared" ca="1" si="5"/>
        <v>399.3141398665519</v>
      </c>
      <c r="M9" s="27">
        <v>7959.7212970010651</v>
      </c>
      <c r="N9" s="118">
        <f t="shared" ca="1" si="6"/>
        <v>2.7865941710564137E-2</v>
      </c>
      <c r="O9" s="118">
        <f t="shared" si="7"/>
        <v>1.9918048944062329E-2</v>
      </c>
      <c r="P9" s="27">
        <v>191.11599398282476</v>
      </c>
      <c r="Q9" s="110">
        <f t="shared" si="0"/>
        <v>5.2324244515603866E-3</v>
      </c>
      <c r="R9" s="26">
        <v>0.80585762550559092</v>
      </c>
      <c r="S9" s="27">
        <f t="shared" ca="1" si="8"/>
        <v>15096.497144828021</v>
      </c>
      <c r="T9" s="27">
        <f t="shared" si="9"/>
        <v>1545.3191929135044</v>
      </c>
      <c r="U9" s="27">
        <f t="shared" si="10"/>
        <v>7959.7212970010651</v>
      </c>
    </row>
    <row r="10" spans="1:21" x14ac:dyDescent="0.2">
      <c r="A10" s="144"/>
      <c r="B10" s="30">
        <v>19807</v>
      </c>
      <c r="C10" s="88" t="s">
        <v>49</v>
      </c>
      <c r="D10" s="114">
        <f t="shared" si="1"/>
        <v>19.917801831012916</v>
      </c>
      <c r="E10" s="116"/>
      <c r="F10" s="116"/>
      <c r="G10" s="90">
        <f t="shared" si="2"/>
        <v>19.917801831012916</v>
      </c>
      <c r="H10" s="89">
        <v>19.917801831012916</v>
      </c>
      <c r="I10" s="111">
        <v>195.14860566321258</v>
      </c>
      <c r="J10" s="27">
        <f t="shared" si="3"/>
        <v>3886.931255198353</v>
      </c>
      <c r="K10" s="27">
        <f t="shared" ca="1" si="4"/>
        <v>6263.4020597175113</v>
      </c>
      <c r="L10" s="27">
        <f t="shared" ca="1" si="5"/>
        <v>314.46251513382924</v>
      </c>
      <c r="M10" s="27">
        <v>7327.8959697853415</v>
      </c>
      <c r="N10" s="118">
        <f t="shared" ca="1" si="6"/>
        <v>2.5654003995347282E-2</v>
      </c>
      <c r="O10" s="118">
        <f t="shared" si="7"/>
        <v>9.5254910717421891E-3</v>
      </c>
      <c r="P10" s="27">
        <v>367.90686201001745</v>
      </c>
      <c r="Q10" s="110">
        <f t="shared" si="0"/>
        <v>2.7180792294457714E-3</v>
      </c>
      <c r="R10" s="26">
        <v>0.9541280149607736</v>
      </c>
      <c r="S10" s="27">
        <f t="shared" ca="1" si="8"/>
        <v>5727.4754399805979</v>
      </c>
      <c r="T10" s="27">
        <f t="shared" si="9"/>
        <v>336.14513429500067</v>
      </c>
      <c r="U10" s="27">
        <f t="shared" si="10"/>
        <v>7327.8959697853415</v>
      </c>
    </row>
    <row r="11" spans="1:21" x14ac:dyDescent="0.2">
      <c r="A11" s="147" t="s">
        <v>57</v>
      </c>
      <c r="B11" s="30">
        <v>19110</v>
      </c>
      <c r="C11" s="88" t="s">
        <v>9</v>
      </c>
      <c r="D11" s="114">
        <f t="shared" si="1"/>
        <v>62.184889036065826</v>
      </c>
      <c r="E11" s="116"/>
      <c r="F11" s="116">
        <v>1</v>
      </c>
      <c r="G11" s="90">
        <f t="shared" si="2"/>
        <v>63.184889036065826</v>
      </c>
      <c r="H11" s="89">
        <v>62.184889036065826</v>
      </c>
      <c r="I11" s="111">
        <v>152.68387719330389</v>
      </c>
      <c r="J11" s="27">
        <f t="shared" si="3"/>
        <v>9494.6299608619047</v>
      </c>
      <c r="K11" s="27">
        <f t="shared" ca="1" si="4"/>
        <v>15299.649247355497</v>
      </c>
      <c r="L11" s="27">
        <f t="shared" ca="1" si="5"/>
        <v>246.03484036904928</v>
      </c>
      <c r="M11" s="27">
        <v>9208.9261036468324</v>
      </c>
      <c r="N11" s="118">
        <f t="shared" ca="1" si="6"/>
        <v>3.2239244119991808E-2</v>
      </c>
      <c r="O11" s="118">
        <f t="shared" si="7"/>
        <v>2.9739306090897095E-2</v>
      </c>
      <c r="P11" s="27">
        <v>148.08945141489059</v>
      </c>
      <c r="Q11" s="110">
        <f t="shared" si="0"/>
        <v>6.7526754299222736E-3</v>
      </c>
      <c r="R11" s="26">
        <v>0.84350099138631551</v>
      </c>
      <c r="S11" s="27">
        <f ca="1">+K11/(1+(M11/SUM($M$11:$M$23)))</f>
        <v>13740.196667116112</v>
      </c>
      <c r="T11" s="27">
        <f t="shared" si="9"/>
        <v>1441.1878056174096</v>
      </c>
      <c r="U11" s="27">
        <f t="shared" si="10"/>
        <v>9208.9261036468324</v>
      </c>
    </row>
    <row r="12" spans="1:21" x14ac:dyDescent="0.2">
      <c r="A12" s="143"/>
      <c r="B12" s="30">
        <v>19137</v>
      </c>
      <c r="C12" s="88" t="s">
        <v>16</v>
      </c>
      <c r="D12" s="114">
        <f t="shared" si="1"/>
        <v>42.519735688602793</v>
      </c>
      <c r="E12" s="116">
        <v>1</v>
      </c>
      <c r="F12" s="116"/>
      <c r="G12" s="90">
        <f t="shared" si="2"/>
        <v>43.519735688602793</v>
      </c>
      <c r="H12" s="89">
        <v>42.519735688602793</v>
      </c>
      <c r="I12" s="111">
        <v>127.35089756912608</v>
      </c>
      <c r="J12" s="27">
        <f t="shared" si="3"/>
        <v>5414.9265043455689</v>
      </c>
      <c r="K12" s="27">
        <f t="shared" ca="1" si="4"/>
        <v>8725.6140110988981</v>
      </c>
      <c r="L12" s="27">
        <f t="shared" ca="1" si="5"/>
        <v>205.21327025646954</v>
      </c>
      <c r="M12" s="27">
        <v>10205.392698295034</v>
      </c>
      <c r="N12" s="118">
        <f t="shared" ca="1" si="6"/>
        <v>3.572774315242061E-2</v>
      </c>
      <c r="O12" s="118">
        <f t="shared" si="7"/>
        <v>2.0334641649260063E-2</v>
      </c>
      <c r="P12" s="27">
        <v>240.01543125844358</v>
      </c>
      <c r="Q12" s="110">
        <f t="shared" si="0"/>
        <v>4.1663987800985222E-3</v>
      </c>
      <c r="R12" s="26">
        <v>0.82325752596989599</v>
      </c>
      <c r="S12" s="27">
        <f t="shared" ref="S12:S23" ca="1" si="11">+K12/(1+(M12/SUM($M$11:$M$23)))</f>
        <v>7750.7507014683224</v>
      </c>
      <c r="T12" s="27">
        <f t="shared" si="9"/>
        <v>1803.7263539454232</v>
      </c>
      <c r="U12" s="27">
        <f t="shared" si="10"/>
        <v>10205.392698295034</v>
      </c>
    </row>
    <row r="13" spans="1:21" x14ac:dyDescent="0.2">
      <c r="A13" s="143"/>
      <c r="B13" s="30">
        <v>19142</v>
      </c>
      <c r="C13" s="88" t="s">
        <v>10</v>
      </c>
      <c r="D13" s="114">
        <f t="shared" si="1"/>
        <v>29.297684474871993</v>
      </c>
      <c r="E13" s="116">
        <v>1</v>
      </c>
      <c r="F13" s="116"/>
      <c r="G13" s="90">
        <f t="shared" si="2"/>
        <v>30.297684474871993</v>
      </c>
      <c r="H13" s="89">
        <v>29.297684474871993</v>
      </c>
      <c r="I13" s="111">
        <v>222.93561619404315</v>
      </c>
      <c r="J13" s="27">
        <f t="shared" si="3"/>
        <v>6531.4973414642391</v>
      </c>
      <c r="K13" s="27">
        <f t="shared" ca="1" si="4"/>
        <v>10524.85655537505</v>
      </c>
      <c r="L13" s="27">
        <f t="shared" ca="1" si="5"/>
        <v>359.2385113028983</v>
      </c>
      <c r="M13" s="27">
        <v>6459.4098617585605</v>
      </c>
      <c r="N13" s="118">
        <f t="shared" ca="1" si="6"/>
        <v>2.2613547883921985E-2</v>
      </c>
      <c r="O13" s="118">
        <f t="shared" si="7"/>
        <v>1.401132686507508E-2</v>
      </c>
      <c r="P13" s="27">
        <v>220.47509820438745</v>
      </c>
      <c r="Q13" s="110">
        <f t="shared" si="0"/>
        <v>4.5356596193596799E-3</v>
      </c>
      <c r="R13" s="26">
        <v>0.88711957295373645</v>
      </c>
      <c r="S13" s="27">
        <f t="shared" ca="1" si="11"/>
        <v>9748.7654598090066</v>
      </c>
      <c r="T13" s="27">
        <f t="shared" si="9"/>
        <v>729.14094366215249</v>
      </c>
      <c r="U13" s="27">
        <f t="shared" si="10"/>
        <v>6459.4098617585605</v>
      </c>
    </row>
    <row r="14" spans="1:21" x14ac:dyDescent="0.2">
      <c r="A14" s="143"/>
      <c r="B14" s="30">
        <v>19212</v>
      </c>
      <c r="C14" s="88" t="s">
        <v>11</v>
      </c>
      <c r="D14" s="114">
        <f t="shared" si="1"/>
        <v>12.898249773218538</v>
      </c>
      <c r="E14" s="116">
        <v>1</v>
      </c>
      <c r="F14" s="116"/>
      <c r="G14" s="90">
        <f t="shared" si="2"/>
        <v>13.898249773218538</v>
      </c>
      <c r="H14" s="89">
        <v>12.898249773218538</v>
      </c>
      <c r="I14" s="111">
        <v>310.55707728523424</v>
      </c>
      <c r="J14" s="27">
        <f t="shared" si="3"/>
        <v>4005.6427516656845</v>
      </c>
      <c r="K14" s="27">
        <f t="shared" ca="1" si="4"/>
        <v>6454.6937967378744</v>
      </c>
      <c r="L14" s="27">
        <f t="shared" ca="1" si="5"/>
        <v>500.4317570388634</v>
      </c>
      <c r="M14" s="27">
        <v>4368.5458649040784</v>
      </c>
      <c r="N14" s="118">
        <f t="shared" ca="1" si="6"/>
        <v>1.5293706888607754E-2</v>
      </c>
      <c r="O14" s="118">
        <f t="shared" si="7"/>
        <v>6.168459958497627E-3</v>
      </c>
      <c r="P14" s="27">
        <v>338.69291893965101</v>
      </c>
      <c r="Q14" s="110">
        <f t="shared" si="0"/>
        <v>2.9525270357901459E-3</v>
      </c>
      <c r="R14" s="26">
        <v>0.88938051509394145</v>
      </c>
      <c r="S14" s="27">
        <f t="shared" ca="1" si="11"/>
        <v>6124.9261877698918</v>
      </c>
      <c r="T14" s="27">
        <f t="shared" si="9"/>
        <v>483.24629336418121</v>
      </c>
      <c r="U14" s="27">
        <f t="shared" si="10"/>
        <v>4368.5458649040784</v>
      </c>
    </row>
    <row r="15" spans="1:21" x14ac:dyDescent="0.2">
      <c r="A15" s="143"/>
      <c r="B15" s="30">
        <v>19300</v>
      </c>
      <c r="C15" s="88" t="s">
        <v>44</v>
      </c>
      <c r="D15" s="114">
        <f t="shared" si="1"/>
        <v>2.2535344284010788</v>
      </c>
      <c r="E15" s="116"/>
      <c r="F15" s="116"/>
      <c r="G15" s="90">
        <f t="shared" si="2"/>
        <v>2.2535344284010788</v>
      </c>
      <c r="H15" s="89">
        <v>2.2535344284010788</v>
      </c>
      <c r="I15" s="111">
        <v>427.84409361228768</v>
      </c>
      <c r="J15" s="27">
        <f t="shared" si="3"/>
        <v>964.16139494334436</v>
      </c>
      <c r="K15" s="27">
        <f t="shared" ca="1" si="4"/>
        <v>1553.6499285681552</v>
      </c>
      <c r="L15" s="27">
        <f t="shared" ca="1" si="5"/>
        <v>689.4280863818426</v>
      </c>
      <c r="M15" s="27">
        <v>4266.8690774012584</v>
      </c>
      <c r="N15" s="118">
        <f t="shared" ca="1" si="6"/>
        <v>1.4937749773006421E-2</v>
      </c>
      <c r="O15" s="118">
        <f t="shared" si="7"/>
        <v>1.0777304774754082E-3</v>
      </c>
      <c r="P15" s="27">
        <v>1893.4119770376328</v>
      </c>
      <c r="Q15" s="110">
        <f t="shared" si="0"/>
        <v>5.2814707635079263E-4</v>
      </c>
      <c r="R15" s="26">
        <v>0.97857163461538454</v>
      </c>
      <c r="S15" s="27">
        <f t="shared" ca="1" si="11"/>
        <v>1476.0297453898756</v>
      </c>
      <c r="T15" s="27">
        <f t="shared" si="9"/>
        <v>91.432029638871214</v>
      </c>
      <c r="U15" s="27">
        <f t="shared" si="10"/>
        <v>4266.8690774012584</v>
      </c>
    </row>
    <row r="16" spans="1:21" x14ac:dyDescent="0.2">
      <c r="A16" s="143"/>
      <c r="B16" s="30">
        <v>19364</v>
      </c>
      <c r="C16" s="88" t="s">
        <v>45</v>
      </c>
      <c r="D16" s="114">
        <f t="shared" si="1"/>
        <v>24.188340299966669</v>
      </c>
      <c r="E16" s="116"/>
      <c r="F16" s="116"/>
      <c r="G16" s="90">
        <f t="shared" si="2"/>
        <v>24.188340299966669</v>
      </c>
      <c r="H16" s="89">
        <v>24.188340299966669</v>
      </c>
      <c r="I16" s="111">
        <v>1021.7113665389527</v>
      </c>
      <c r="J16" s="27">
        <f t="shared" si="3"/>
        <v>24713.502222188166</v>
      </c>
      <c r="K16" s="27">
        <f t="shared" ca="1" si="4"/>
        <v>39823.344062046592</v>
      </c>
      <c r="L16" s="27">
        <f t="shared" ca="1" si="5"/>
        <v>1646.3859681228921</v>
      </c>
      <c r="M16" s="27">
        <v>3670.2275178728205</v>
      </c>
      <c r="N16" s="118">
        <f t="shared" ca="1" si="6"/>
        <v>1.2848985820155007E-2</v>
      </c>
      <c r="O16" s="118">
        <f t="shared" si="7"/>
        <v>1.1567833715909455E-2</v>
      </c>
      <c r="P16" s="27">
        <v>151.73540112125337</v>
      </c>
      <c r="Q16" s="110">
        <f t="shared" si="0"/>
        <v>6.5904198533135285E-3</v>
      </c>
      <c r="R16" s="26">
        <v>0.75041156267887799</v>
      </c>
      <c r="S16" s="27">
        <f t="shared" ca="1" si="11"/>
        <v>38099.938470398491</v>
      </c>
      <c r="T16" s="27">
        <f t="shared" si="9"/>
        <v>916.0463507988577</v>
      </c>
      <c r="U16" s="27">
        <f t="shared" si="10"/>
        <v>3670.2275178728205</v>
      </c>
    </row>
    <row r="17" spans="1:21" x14ac:dyDescent="0.2">
      <c r="A17" s="143"/>
      <c r="B17" s="30">
        <v>19455</v>
      </c>
      <c r="C17" s="88" t="s">
        <v>12</v>
      </c>
      <c r="D17" s="114">
        <f t="shared" si="1"/>
        <v>10.989229864276783</v>
      </c>
      <c r="E17" s="116">
        <v>1</v>
      </c>
      <c r="F17" s="116"/>
      <c r="G17" s="90">
        <f t="shared" si="2"/>
        <v>11.989229864276783</v>
      </c>
      <c r="H17" s="89">
        <v>10.989229864276783</v>
      </c>
      <c r="I17" s="111">
        <v>275.03960570322124</v>
      </c>
      <c r="J17" s="27">
        <f t="shared" si="3"/>
        <v>3022.4734488527502</v>
      </c>
      <c r="K17" s="27">
        <f t="shared" ca="1" si="4"/>
        <v>4870.4145203668504</v>
      </c>
      <c r="L17" s="27">
        <f t="shared" ca="1" si="5"/>
        <v>443.19889387329505</v>
      </c>
      <c r="M17" s="27">
        <v>4254.4623976172743</v>
      </c>
      <c r="N17" s="118">
        <f t="shared" ca="1" si="6"/>
        <v>1.4894315612087698E-2</v>
      </c>
      <c r="O17" s="118">
        <f t="shared" si="7"/>
        <v>5.2554901311701501E-3</v>
      </c>
      <c r="P17" s="27">
        <v>387.1483670978127</v>
      </c>
      <c r="Q17" s="110">
        <f t="shared" si="0"/>
        <v>2.5829890682384071E-3</v>
      </c>
      <c r="R17" s="26">
        <v>0.92237318982387495</v>
      </c>
      <c r="S17" s="27">
        <f t="shared" ca="1" si="11"/>
        <v>4627.7613974629739</v>
      </c>
      <c r="T17" s="27">
        <f t="shared" si="9"/>
        <v>330.260344941298</v>
      </c>
      <c r="U17" s="27">
        <f t="shared" si="10"/>
        <v>4254.4623976172743</v>
      </c>
    </row>
    <row r="18" spans="1:21" x14ac:dyDescent="0.2">
      <c r="A18" s="143"/>
      <c r="B18" s="30">
        <v>19513</v>
      </c>
      <c r="C18" s="88" t="s">
        <v>13</v>
      </c>
      <c r="D18" s="114">
        <f t="shared" si="1"/>
        <v>1.5305032156843346</v>
      </c>
      <c r="E18" s="116"/>
      <c r="F18" s="116"/>
      <c r="G18" s="90">
        <f t="shared" si="2"/>
        <v>1.5305032156843346</v>
      </c>
      <c r="H18" s="89">
        <v>1.5305032156843346</v>
      </c>
      <c r="I18" s="111">
        <v>2180.3593232164662</v>
      </c>
      <c r="J18" s="27">
        <f t="shared" si="3"/>
        <v>3337.0469555301211</v>
      </c>
      <c r="K18" s="27">
        <f t="shared" ca="1" si="4"/>
        <v>5377.318352797779</v>
      </c>
      <c r="L18" s="27">
        <f t="shared" ca="1" si="5"/>
        <v>3513.4315940613142</v>
      </c>
      <c r="M18" s="27">
        <v>1720.5532148745192</v>
      </c>
      <c r="N18" s="118">
        <f t="shared" ca="1" si="6"/>
        <v>6.0234314502545412E-3</v>
      </c>
      <c r="O18" s="118">
        <f t="shared" si="7"/>
        <v>7.3194797498055218E-4</v>
      </c>
      <c r="P18" s="27">
        <v>1124.1748447455614</v>
      </c>
      <c r="Q18" s="110">
        <f t="shared" si="0"/>
        <v>8.8954134196654589E-4</v>
      </c>
      <c r="R18" s="26">
        <v>0.90959444444444448</v>
      </c>
      <c r="S18" s="27">
        <f t="shared" ca="1" si="11"/>
        <v>5265.6600144611411</v>
      </c>
      <c r="T18" s="27">
        <f t="shared" si="9"/>
        <v>155.54756925362798</v>
      </c>
      <c r="U18" s="27">
        <f t="shared" si="10"/>
        <v>1720.5532148745192</v>
      </c>
    </row>
    <row r="19" spans="1:21" x14ac:dyDescent="0.2">
      <c r="A19" s="143"/>
      <c r="B19" s="30">
        <v>19573</v>
      </c>
      <c r="C19" s="88" t="s">
        <v>14</v>
      </c>
      <c r="D19" s="114">
        <f t="shared" si="1"/>
        <v>5.5397494683877575</v>
      </c>
      <c r="E19" s="116">
        <v>2</v>
      </c>
      <c r="F19" s="116"/>
      <c r="G19" s="90">
        <f t="shared" si="2"/>
        <v>7.5397494683877575</v>
      </c>
      <c r="H19" s="89">
        <v>5.5397494683877575</v>
      </c>
      <c r="I19" s="111">
        <v>377.07390648567122</v>
      </c>
      <c r="J19" s="27">
        <f t="shared" si="3"/>
        <v>2088.8949729968922</v>
      </c>
      <c r="K19" s="27">
        <f t="shared" ca="1" si="4"/>
        <v>3366.0459157605101</v>
      </c>
      <c r="L19" s="27">
        <f t="shared" ca="1" si="5"/>
        <v>607.61699332589785</v>
      </c>
      <c r="M19" s="27">
        <v>2143.6231071228267</v>
      </c>
      <c r="N19" s="118">
        <f t="shared" ca="1" si="6"/>
        <v>7.5045437300686278E-3</v>
      </c>
      <c r="O19" s="118">
        <f t="shared" si="7"/>
        <v>2.6493302096545946E-3</v>
      </c>
      <c r="P19" s="27">
        <v>386.95307781611444</v>
      </c>
      <c r="Q19" s="110">
        <f t="shared" si="0"/>
        <v>2.584292663192652E-3</v>
      </c>
      <c r="R19" s="26">
        <v>0.99704999999999999</v>
      </c>
      <c r="S19" s="27">
        <f t="shared" ca="1" si="11"/>
        <v>3279.4068101409025</v>
      </c>
      <c r="T19" s="27">
        <f t="shared" si="9"/>
        <v>6.3236881660123565</v>
      </c>
      <c r="U19" s="27">
        <f t="shared" si="10"/>
        <v>2143.6231071228267</v>
      </c>
    </row>
    <row r="20" spans="1:21" x14ac:dyDescent="0.2">
      <c r="A20" s="143"/>
      <c r="B20" s="30">
        <v>19698</v>
      </c>
      <c r="C20" s="88" t="s">
        <v>47</v>
      </c>
      <c r="D20" s="114">
        <f t="shared" si="1"/>
        <v>57.334210686547998</v>
      </c>
      <c r="E20" s="116">
        <v>7</v>
      </c>
      <c r="F20" s="116">
        <v>2</v>
      </c>
      <c r="G20" s="90">
        <f t="shared" si="2"/>
        <v>66.334210686548005</v>
      </c>
      <c r="H20" s="89">
        <v>57.334210686547998</v>
      </c>
      <c r="I20" s="111">
        <v>19.826470796996368</v>
      </c>
      <c r="J20" s="27">
        <f t="shared" si="3"/>
        <v>1136.735053845681</v>
      </c>
      <c r="K20" s="27">
        <f t="shared" ca="1" si="4"/>
        <v>1831.7351684797945</v>
      </c>
      <c r="L20" s="27">
        <f t="shared" ca="1" si="5"/>
        <v>31.948380322074691</v>
      </c>
      <c r="M20" s="27">
        <v>16789.556521589719</v>
      </c>
      <c r="N20" s="118">
        <f t="shared" ca="1" si="6"/>
        <v>5.8778038315627029E-2</v>
      </c>
      <c r="O20" s="118">
        <f t="shared" si="7"/>
        <v>2.7419517305857483E-2</v>
      </c>
      <c r="P20" s="27">
        <v>292.83662093788894</v>
      </c>
      <c r="Q20" s="110">
        <f t="shared" si="0"/>
        <v>3.4148734430728914E-3</v>
      </c>
      <c r="R20" s="26">
        <v>0.92563371517522153</v>
      </c>
      <c r="S20" s="27">
        <f t="shared" ca="1" si="11"/>
        <v>1517.6897498505252</v>
      </c>
      <c r="T20" s="27">
        <f t="shared" si="9"/>
        <v>1248.576942366258</v>
      </c>
      <c r="U20" s="27">
        <f t="shared" si="10"/>
        <v>16789.556521589719</v>
      </c>
    </row>
    <row r="21" spans="1:21" x14ac:dyDescent="0.2">
      <c r="A21" s="143"/>
      <c r="B21" s="30">
        <v>19780</v>
      </c>
      <c r="C21" s="88" t="s">
        <v>48</v>
      </c>
      <c r="D21" s="114">
        <f t="shared" si="1"/>
        <v>35.73459899381939</v>
      </c>
      <c r="E21" s="116"/>
      <c r="F21" s="116"/>
      <c r="G21" s="90">
        <f t="shared" si="2"/>
        <v>35.73459899381939</v>
      </c>
      <c r="H21" s="89">
        <v>35.73459899381939</v>
      </c>
      <c r="I21" s="111">
        <v>170.75919538267135</v>
      </c>
      <c r="J21" s="27">
        <f t="shared" si="3"/>
        <v>6102.0113715070165</v>
      </c>
      <c r="K21" s="27">
        <f t="shared" ca="1" si="4"/>
        <v>9832.7827490137479</v>
      </c>
      <c r="L21" s="27">
        <f t="shared" ca="1" si="5"/>
        <v>275.16141291285828</v>
      </c>
      <c r="M21" s="27">
        <v>7633.3061432377372</v>
      </c>
      <c r="N21" s="118">
        <f t="shared" ca="1" si="6"/>
        <v>2.6723205010519033E-2</v>
      </c>
      <c r="O21" s="118">
        <f t="shared" si="7"/>
        <v>1.7089717357158963E-2</v>
      </c>
      <c r="P21" s="27">
        <v>213.61107604867721</v>
      </c>
      <c r="Q21" s="110">
        <f t="shared" si="0"/>
        <v>4.681405189738955E-3</v>
      </c>
      <c r="R21" s="26">
        <v>0.88518596185159348</v>
      </c>
      <c r="S21" s="27">
        <f t="shared" ca="1" si="11"/>
        <v>8987.2868233794707</v>
      </c>
      <c r="T21" s="27">
        <f t="shared" si="9"/>
        <v>876.41070272816341</v>
      </c>
      <c r="U21" s="27">
        <f t="shared" si="10"/>
        <v>7633.3061432377372</v>
      </c>
    </row>
    <row r="22" spans="1:21" x14ac:dyDescent="0.2">
      <c r="A22" s="143"/>
      <c r="B22" s="30">
        <v>19821</v>
      </c>
      <c r="C22" s="88" t="s">
        <v>15</v>
      </c>
      <c r="D22" s="114">
        <f t="shared" si="1"/>
        <v>17.266273095345397</v>
      </c>
      <c r="E22" s="116">
        <v>1</v>
      </c>
      <c r="F22" s="116"/>
      <c r="G22" s="90">
        <f t="shared" si="2"/>
        <v>18.266273095345397</v>
      </c>
      <c r="H22" s="89">
        <v>17.266273095345397</v>
      </c>
      <c r="I22" s="111">
        <v>162.55933415696728</v>
      </c>
      <c r="J22" s="27">
        <f t="shared" si="3"/>
        <v>2806.7938577517061</v>
      </c>
      <c r="K22" s="27">
        <f t="shared" ca="1" si="4"/>
        <v>4522.8683698310915</v>
      </c>
      <c r="L22" s="27">
        <f t="shared" ca="1" si="5"/>
        <v>261.94815435013339</v>
      </c>
      <c r="M22" s="27">
        <v>8461.7339902980748</v>
      </c>
      <c r="N22" s="118">
        <f t="shared" ca="1" si="6"/>
        <v>2.9623422397061082E-2</v>
      </c>
      <c r="O22" s="118">
        <f t="shared" si="7"/>
        <v>8.257423766305786E-3</v>
      </c>
      <c r="P22" s="27">
        <v>490.07298468939251</v>
      </c>
      <c r="Q22" s="110">
        <f t="shared" si="0"/>
        <v>2.0405123955849116E-3</v>
      </c>
      <c r="R22" s="26">
        <v>0.91460095693779897</v>
      </c>
      <c r="S22" s="27">
        <f t="shared" ca="1" si="11"/>
        <v>4095.7368239500188</v>
      </c>
      <c r="T22" s="27">
        <f t="shared" si="9"/>
        <v>722.62398541835546</v>
      </c>
      <c r="U22" s="27">
        <f t="shared" si="10"/>
        <v>8461.7339902980748</v>
      </c>
    </row>
    <row r="23" spans="1:21" x14ac:dyDescent="0.2">
      <c r="A23" s="144"/>
      <c r="B23" s="30">
        <v>19845</v>
      </c>
      <c r="C23" s="88" t="s">
        <v>51</v>
      </c>
      <c r="D23" s="114">
        <f t="shared" si="1"/>
        <v>4.0403118052446647</v>
      </c>
      <c r="E23" s="116">
        <v>1</v>
      </c>
      <c r="F23" s="116"/>
      <c r="G23" s="90">
        <f t="shared" si="2"/>
        <v>5.0403118052446647</v>
      </c>
      <c r="H23" s="89">
        <v>4.0403118052446647</v>
      </c>
      <c r="I23" s="111">
        <v>794.10456768947336</v>
      </c>
      <c r="J23" s="27">
        <f t="shared" si="3"/>
        <v>3208.43005943449</v>
      </c>
      <c r="K23" s="27">
        <f t="shared" ca="1" si="4"/>
        <v>5170.0650521785628</v>
      </c>
      <c r="L23" s="27">
        <f t="shared" ca="1" si="5"/>
        <v>1279.6203118450867</v>
      </c>
      <c r="M23" s="27">
        <v>1956.4145658263305</v>
      </c>
      <c r="N23" s="118">
        <f t="shared" ca="1" si="6"/>
        <v>6.8491511472336761E-3</v>
      </c>
      <c r="O23" s="118">
        <f t="shared" si="7"/>
        <v>1.9322390268984527E-3</v>
      </c>
      <c r="P23" s="27">
        <v>484.22365899749121</v>
      </c>
      <c r="Q23" s="110">
        <f t="shared" si="0"/>
        <v>2.0651613803223546E-3</v>
      </c>
      <c r="R23" s="26">
        <v>0.98649999999999993</v>
      </c>
      <c r="S23" s="27">
        <f t="shared" ca="1" si="11"/>
        <v>5048.3400681570929</v>
      </c>
      <c r="T23" s="27">
        <f t="shared" si="9"/>
        <v>26.411596638655595</v>
      </c>
      <c r="U23" s="27">
        <f t="shared" si="10"/>
        <v>1956.4145658263305</v>
      </c>
    </row>
    <row r="24" spans="1:21" x14ac:dyDescent="0.2">
      <c r="A24" s="147" t="s">
        <v>59</v>
      </c>
      <c r="B24" s="30">
        <v>19355</v>
      </c>
      <c r="C24" s="88" t="s">
        <v>18</v>
      </c>
      <c r="D24" s="114">
        <f t="shared" si="1"/>
        <v>34.9559700805438</v>
      </c>
      <c r="E24" s="116"/>
      <c r="F24" s="116"/>
      <c r="G24" s="90">
        <f t="shared" si="2"/>
        <v>34.9559700805438</v>
      </c>
      <c r="H24" s="89">
        <v>34.9559700805438</v>
      </c>
      <c r="I24" s="111">
        <v>10.129427750134571</v>
      </c>
      <c r="J24" s="27">
        <f t="shared" si="3"/>
        <v>354.08397336673414</v>
      </c>
      <c r="K24" s="27">
        <f t="shared" ca="1" si="4"/>
        <v>570.57100897581699</v>
      </c>
      <c r="L24" s="27">
        <f t="shared" ca="1" si="5"/>
        <v>16.322562574036304</v>
      </c>
      <c r="M24" s="27">
        <v>7559.5400964781829</v>
      </c>
      <c r="N24" s="118">
        <f t="shared" ca="1" si="6"/>
        <v>2.646495974256035E-2</v>
      </c>
      <c r="O24" s="118">
        <f t="shared" si="7"/>
        <v>1.6717345806094595E-2</v>
      </c>
      <c r="P24" s="27">
        <v>216.25891311440844</v>
      </c>
      <c r="Q24" s="110">
        <f t="shared" si="0"/>
        <v>4.6240868669813638E-3</v>
      </c>
      <c r="R24" s="26">
        <v>0.81625586854460108</v>
      </c>
      <c r="S24" s="27">
        <f ca="1">+K24/(1+(M24/SUM($M$24:$M$26)))</f>
        <v>422.4571891111591</v>
      </c>
      <c r="T24" s="27">
        <f t="shared" si="9"/>
        <v>1389.0211292296462</v>
      </c>
      <c r="U24" s="27">
        <f t="shared" si="10"/>
        <v>7559.5400964781829</v>
      </c>
    </row>
    <row r="25" spans="1:21" x14ac:dyDescent="0.2">
      <c r="A25" s="143"/>
      <c r="B25" s="30">
        <v>19517</v>
      </c>
      <c r="C25" s="88" t="s">
        <v>19</v>
      </c>
      <c r="D25" s="114">
        <f t="shared" si="1"/>
        <v>86.623641631540437</v>
      </c>
      <c r="E25" s="116">
        <v>1</v>
      </c>
      <c r="F25" s="116"/>
      <c r="G25" s="90">
        <f t="shared" si="2"/>
        <v>87.623641631540437</v>
      </c>
      <c r="H25" s="89">
        <v>86.623641631540437</v>
      </c>
      <c r="I25" s="111">
        <v>8.6918277696943793</v>
      </c>
      <c r="J25" s="27">
        <f t="shared" si="3"/>
        <v>752.91777384507725</v>
      </c>
      <c r="K25" s="27">
        <f t="shared" ca="1" si="4"/>
        <v>1213.251901276172</v>
      </c>
      <c r="L25" s="27">
        <f t="shared" ca="1" si="5"/>
        <v>14.006013582721698</v>
      </c>
      <c r="M25" s="27">
        <v>8555.1756570494108</v>
      </c>
      <c r="N25" s="118">
        <f t="shared" ca="1" si="6"/>
        <v>2.9950549433533039E-2</v>
      </c>
      <c r="O25" s="118">
        <f t="shared" si="7"/>
        <v>4.142689700217142E-2</v>
      </c>
      <c r="P25" s="27">
        <v>98.762595244372591</v>
      </c>
      <c r="Q25" s="110">
        <f t="shared" si="0"/>
        <v>1.0125290830254678E-2</v>
      </c>
      <c r="R25" s="26">
        <v>0.7025604851330205</v>
      </c>
      <c r="S25" s="27">
        <f t="shared" ref="S25:S26" ca="1" si="12">+K25/(1+(M25/SUM($M$24:$M$26)))</f>
        <v>868.60819270433478</v>
      </c>
      <c r="T25" s="27">
        <f t="shared" si="9"/>
        <v>2544.6472970345694</v>
      </c>
      <c r="U25" s="27">
        <f t="shared" si="10"/>
        <v>8555.1756570494108</v>
      </c>
    </row>
    <row r="26" spans="1:21" x14ac:dyDescent="0.2">
      <c r="A26" s="144"/>
      <c r="B26" s="30">
        <v>19824</v>
      </c>
      <c r="C26" s="88" t="s">
        <v>50</v>
      </c>
      <c r="D26" s="114">
        <f t="shared" si="1"/>
        <v>28.761458105190759</v>
      </c>
      <c r="E26" s="116"/>
      <c r="F26" s="116"/>
      <c r="G26" s="90">
        <f t="shared" si="2"/>
        <v>28.761458105190759</v>
      </c>
      <c r="H26" s="89">
        <v>28.761458105190759</v>
      </c>
      <c r="I26" s="111">
        <v>19.597249094950048</v>
      </c>
      <c r="J26" s="27">
        <f t="shared" si="3"/>
        <v>563.64545882139328</v>
      </c>
      <c r="K26" s="27">
        <f t="shared" ca="1" si="4"/>
        <v>908.25844244373718</v>
      </c>
      <c r="L26" s="27">
        <f t="shared" ca="1" si="5"/>
        <v>31.579012410355446</v>
      </c>
      <c r="M26" s="27">
        <v>5446.9593355996385</v>
      </c>
      <c r="N26" s="118">
        <f t="shared" ca="1" si="6"/>
        <v>1.9069091200821269E-2</v>
      </c>
      <c r="O26" s="118">
        <f t="shared" si="7"/>
        <v>1.3754881925007536E-2</v>
      </c>
      <c r="P26" s="27">
        <v>189.38397753264783</v>
      </c>
      <c r="Q26" s="110">
        <f t="shared" si="0"/>
        <v>5.2802777353623299E-3</v>
      </c>
      <c r="R26" s="26">
        <v>0.83451281651733544</v>
      </c>
      <c r="S26" s="27">
        <f t="shared" ca="1" si="12"/>
        <v>725.08565686681027</v>
      </c>
      <c r="T26" s="27">
        <f t="shared" si="9"/>
        <v>901.40195899298999</v>
      </c>
      <c r="U26" s="27">
        <f t="shared" si="10"/>
        <v>5446.9593355996385</v>
      </c>
    </row>
    <row r="27" spans="1:21" x14ac:dyDescent="0.2">
      <c r="A27" s="147" t="s">
        <v>58</v>
      </c>
      <c r="B27" s="30">
        <v>19318</v>
      </c>
      <c r="C27" s="88" t="s">
        <v>23</v>
      </c>
      <c r="D27" s="114">
        <f t="shared" si="1"/>
        <v>311.36528329982127</v>
      </c>
      <c r="E27" s="116"/>
      <c r="F27" s="116"/>
      <c r="G27" s="90">
        <f t="shared" si="2"/>
        <v>311.36528329982127</v>
      </c>
      <c r="H27" s="89">
        <v>311.36528329982127</v>
      </c>
      <c r="I27" s="111">
        <v>22.978838787360718</v>
      </c>
      <c r="J27" s="27">
        <f t="shared" si="3"/>
        <v>7154.8126489274919</v>
      </c>
      <c r="K27" s="27">
        <f t="shared" ca="1" si="4"/>
        <v>11529.267007810378</v>
      </c>
      <c r="L27" s="27">
        <f t="shared" ca="1" si="5"/>
        <v>37.028106941224287</v>
      </c>
      <c r="M27" s="27">
        <v>7066.6364231814387</v>
      </c>
      <c r="N27" s="118">
        <f t="shared" ca="1" si="6"/>
        <v>2.4739368542000983E-2</v>
      </c>
      <c r="O27" s="118">
        <f t="shared" si="7"/>
        <v>0.14890735691048362</v>
      </c>
      <c r="P27" s="27">
        <v>22.695646567561617</v>
      </c>
      <c r="Q27" s="110">
        <f t="shared" si="0"/>
        <v>4.4061313566156682E-2</v>
      </c>
      <c r="R27" s="26">
        <v>0.51329999999999998</v>
      </c>
      <c r="S27" s="27">
        <f ca="1">+K27/(1+(M27/SUM($M$27:$M$29)))</f>
        <v>8430.6930528432367</v>
      </c>
      <c r="T27" s="27">
        <f t="shared" si="9"/>
        <v>3439.3319471624063</v>
      </c>
      <c r="U27" s="27">
        <f t="shared" si="10"/>
        <v>7066.6364231814396</v>
      </c>
    </row>
    <row r="28" spans="1:21" x14ac:dyDescent="0.2">
      <c r="A28" s="143"/>
      <c r="B28" s="30">
        <v>19418</v>
      </c>
      <c r="C28" s="88" t="s">
        <v>46</v>
      </c>
      <c r="D28" s="114">
        <f t="shared" si="1"/>
        <v>164.54250531334023</v>
      </c>
      <c r="E28" s="116"/>
      <c r="F28" s="116"/>
      <c r="G28" s="90">
        <f t="shared" si="2"/>
        <v>164.54250531334023</v>
      </c>
      <c r="H28" s="89">
        <v>164.54250531334023</v>
      </c>
      <c r="I28" s="111">
        <v>16.959178578793701</v>
      </c>
      <c r="J28" s="27">
        <f t="shared" si="3"/>
        <v>2790.5057314110481</v>
      </c>
      <c r="K28" s="27">
        <f t="shared" ca="1" si="4"/>
        <v>4496.621678708223</v>
      </c>
      <c r="L28" s="27">
        <f t="shared" ca="1" si="5"/>
        <v>27.328024878102188</v>
      </c>
      <c r="M28" s="27">
        <v>5054.4074200538762</v>
      </c>
      <c r="N28" s="118">
        <f t="shared" ca="1" si="6"/>
        <v>1.769481836025211E-2</v>
      </c>
      <c r="O28" s="118">
        <f t="shared" si="7"/>
        <v>7.8690820331583089E-2</v>
      </c>
      <c r="P28" s="27">
        <v>30.717943733922787</v>
      </c>
      <c r="Q28" s="110">
        <f t="shared" si="0"/>
        <v>3.2554262377128738E-2</v>
      </c>
      <c r="R28" s="26">
        <v>0.63939999999999997</v>
      </c>
      <c r="S28" s="27">
        <f t="shared" ref="S28:S29" ca="1" si="13">+K28/(1+(M28/SUM($M$27:$M$29)))</f>
        <v>3560.6113196662373</v>
      </c>
      <c r="T28" s="27">
        <f t="shared" si="9"/>
        <v>1822.619315671428</v>
      </c>
      <c r="U28" s="27">
        <f t="shared" si="10"/>
        <v>5054.4074200538762</v>
      </c>
    </row>
    <row r="29" spans="1:21" x14ac:dyDescent="0.2">
      <c r="A29" s="144"/>
      <c r="B29" s="30">
        <v>19809</v>
      </c>
      <c r="C29" s="88" t="s">
        <v>22</v>
      </c>
      <c r="D29" s="114">
        <f t="shared" si="1"/>
        <v>230.79798550292227</v>
      </c>
      <c r="E29" s="116"/>
      <c r="F29" s="116"/>
      <c r="G29" s="90">
        <f t="shared" si="2"/>
        <v>230.79798550292227</v>
      </c>
      <c r="H29" s="89">
        <v>230.79798550292227</v>
      </c>
      <c r="I29" s="111">
        <v>10.209815798587289</v>
      </c>
      <c r="J29" s="27">
        <f t="shared" si="3"/>
        <v>2356.4049186698562</v>
      </c>
      <c r="K29" s="27">
        <f t="shared" ca="1" si="4"/>
        <v>3797.1115134558977</v>
      </c>
      <c r="L29" s="27">
        <f t="shared" ca="1" si="5"/>
        <v>16.452099896720373</v>
      </c>
      <c r="M29" s="27">
        <v>7106.0727161035065</v>
      </c>
      <c r="N29" s="118">
        <f t="shared" ca="1" si="6"/>
        <v>2.4877429838225149E-2</v>
      </c>
      <c r="O29" s="118">
        <f t="shared" si="7"/>
        <v>0.11037684624721295</v>
      </c>
      <c r="P29" s="27">
        <v>30.789145323859564</v>
      </c>
      <c r="Q29" s="110">
        <f t="shared" si="0"/>
        <v>3.2478978857041083E-2</v>
      </c>
      <c r="R29" s="26">
        <v>0.64155000000000006</v>
      </c>
      <c r="S29" s="27">
        <f t="shared" ca="1" si="13"/>
        <v>2772.4520905680406</v>
      </c>
      <c r="T29" s="27">
        <f t="shared" si="9"/>
        <v>2547.1717650873015</v>
      </c>
      <c r="U29" s="27">
        <f t="shared" si="10"/>
        <v>7106.0727161035065</v>
      </c>
    </row>
    <row r="30" spans="1:21" x14ac:dyDescent="0.2">
      <c r="A30" s="147" t="s">
        <v>56</v>
      </c>
      <c r="B30" s="30">
        <v>19050</v>
      </c>
      <c r="C30" s="88" t="s">
        <v>25</v>
      </c>
      <c r="D30" s="114">
        <f t="shared" si="1"/>
        <v>46.352382949415841</v>
      </c>
      <c r="E30" s="116">
        <v>1</v>
      </c>
      <c r="F30" s="116"/>
      <c r="G30" s="90">
        <f t="shared" si="2"/>
        <v>47.352382949415841</v>
      </c>
      <c r="H30" s="89">
        <v>46.352382949415841</v>
      </c>
      <c r="I30" s="111">
        <v>44.83010287612008</v>
      </c>
      <c r="J30" s="27">
        <f t="shared" si="3"/>
        <v>2077.9820961756263</v>
      </c>
      <c r="K30" s="27">
        <f t="shared" ca="1" si="4"/>
        <v>3348.4609031446198</v>
      </c>
      <c r="L30" s="27">
        <f t="shared" ca="1" si="5"/>
        <v>72.239239712848871</v>
      </c>
      <c r="M30" s="27">
        <v>8864.2571627266225</v>
      </c>
      <c r="N30" s="118">
        <f t="shared" ca="1" si="6"/>
        <v>3.1032603301959259E-2</v>
      </c>
      <c r="O30" s="118">
        <f t="shared" si="7"/>
        <v>2.216756716853938E-2</v>
      </c>
      <c r="P30" s="27">
        <v>191.23627737542964</v>
      </c>
      <c r="Q30" s="110">
        <f t="shared" si="0"/>
        <v>5.2291333722044196E-3</v>
      </c>
      <c r="R30" s="26">
        <v>0.79337639722134501</v>
      </c>
      <c r="S30" s="27">
        <f ca="1">+K30/(1+(M30/SUM($M$30:$M$36)))</f>
        <v>2794.8251016698678</v>
      </c>
      <c r="T30" s="27">
        <f t="shared" si="9"/>
        <v>1831.564750919073</v>
      </c>
      <c r="U30" s="27">
        <f t="shared" si="10"/>
        <v>8864.2571627266225</v>
      </c>
    </row>
    <row r="31" spans="1:21" x14ac:dyDescent="0.2">
      <c r="A31" s="143"/>
      <c r="B31" s="30">
        <v>19075</v>
      </c>
      <c r="C31" s="88" t="s">
        <v>26</v>
      </c>
      <c r="D31" s="114">
        <f t="shared" si="1"/>
        <v>17.250373128371027</v>
      </c>
      <c r="E31" s="116">
        <v>1</v>
      </c>
      <c r="F31" s="116"/>
      <c r="G31" s="90">
        <f t="shared" si="2"/>
        <v>18.250373128371027</v>
      </c>
      <c r="H31" s="89">
        <v>17.250373128371027</v>
      </c>
      <c r="I31" s="111">
        <v>51.708126242287733</v>
      </c>
      <c r="J31" s="27">
        <f t="shared" si="3"/>
        <v>891.98447144837701</v>
      </c>
      <c r="K31" s="27">
        <f t="shared" ca="1" si="4"/>
        <v>1437.34401482763</v>
      </c>
      <c r="L31" s="27">
        <f t="shared" ca="1" si="5"/>
        <v>83.322488396710995</v>
      </c>
      <c r="M31" s="27">
        <v>6283.4747056951956</v>
      </c>
      <c r="N31" s="118">
        <f t="shared" ca="1" si="6"/>
        <v>2.1997621946220139E-2</v>
      </c>
      <c r="O31" s="118">
        <f t="shared" si="7"/>
        <v>8.2498197648833219E-3</v>
      </c>
      <c r="P31" s="27">
        <v>364.25152423868474</v>
      </c>
      <c r="Q31" s="110">
        <f t="shared" si="0"/>
        <v>2.7453557046606221E-3</v>
      </c>
      <c r="R31" s="26">
        <v>0.92189857835574152</v>
      </c>
      <c r="S31" s="27">
        <f t="shared" ref="S31:S36" ca="1" si="14">+K31/(1+(M31/SUM($M$30:$M$36)))</f>
        <v>1260.3644223096185</v>
      </c>
      <c r="T31" s="27">
        <f t="shared" si="9"/>
        <v>490.74830738053345</v>
      </c>
      <c r="U31" s="27">
        <f t="shared" si="10"/>
        <v>6283.4747056951956</v>
      </c>
    </row>
    <row r="32" spans="1:21" x14ac:dyDescent="0.2">
      <c r="A32" s="143"/>
      <c r="B32" s="30">
        <v>19100</v>
      </c>
      <c r="C32" s="88" t="s">
        <v>43</v>
      </c>
      <c r="D32" s="114">
        <f t="shared" si="1"/>
        <v>57.685574244364659</v>
      </c>
      <c r="E32" s="116">
        <v>1</v>
      </c>
      <c r="F32" s="116"/>
      <c r="G32" s="90">
        <f t="shared" si="2"/>
        <v>58.685574244364659</v>
      </c>
      <c r="H32" s="89">
        <v>57.685574244364659</v>
      </c>
      <c r="I32" s="111">
        <v>13.431461802400095</v>
      </c>
      <c r="J32" s="27">
        <f t="shared" si="3"/>
        <v>774.80158701269863</v>
      </c>
      <c r="K32" s="27">
        <f t="shared" ca="1" si="4"/>
        <v>1248.5154836421427</v>
      </c>
      <c r="L32" s="27">
        <f t="shared" ca="1" si="5"/>
        <v>21.64346112518956</v>
      </c>
      <c r="M32" s="27">
        <v>13232.094768075573</v>
      </c>
      <c r="N32" s="118">
        <f t="shared" ca="1" si="6"/>
        <v>4.6323830666631094E-2</v>
      </c>
      <c r="O32" s="118">
        <f t="shared" si="7"/>
        <v>2.7587553440633506E-2</v>
      </c>
      <c r="P32" s="27">
        <v>229.38308132328638</v>
      </c>
      <c r="Q32" s="110">
        <f t="shared" si="0"/>
        <v>4.3595194302522549E-3</v>
      </c>
      <c r="R32" s="26">
        <v>0.88590483201207992</v>
      </c>
      <c r="S32" s="27">
        <f t="shared" ca="1" si="14"/>
        <v>963.58150492593984</v>
      </c>
      <c r="T32" s="27">
        <f t="shared" si="9"/>
        <v>1509.7180753956609</v>
      </c>
      <c r="U32" s="27">
        <f t="shared" si="10"/>
        <v>13232.094768075573</v>
      </c>
    </row>
    <row r="33" spans="1:21" x14ac:dyDescent="0.2">
      <c r="A33" s="143"/>
      <c r="B33" s="30">
        <v>19290</v>
      </c>
      <c r="C33" s="88" t="s">
        <v>29</v>
      </c>
      <c r="D33" s="114">
        <f t="shared" si="1"/>
        <v>1.4699443367466214</v>
      </c>
      <c r="E33" s="116"/>
      <c r="F33" s="116"/>
      <c r="G33" s="90">
        <f t="shared" si="2"/>
        <v>1.4699443367466214</v>
      </c>
      <c r="H33" s="89">
        <v>1.4699443367466214</v>
      </c>
      <c r="I33" s="111">
        <v>835.421888053467</v>
      </c>
      <c r="J33" s="27">
        <f t="shared" si="3"/>
        <v>1228.0236731383638</v>
      </c>
      <c r="K33" s="27">
        <f t="shared" ca="1" si="4"/>
        <v>1978.8376739182086</v>
      </c>
      <c r="L33" s="27">
        <f t="shared" ca="1" si="5"/>
        <v>1346.1990528824404</v>
      </c>
      <c r="M33" s="27">
        <v>1558.0882352941176</v>
      </c>
      <c r="N33" s="118">
        <f t="shared" ca="1" si="6"/>
        <v>5.4546628361196265E-3</v>
      </c>
      <c r="O33" s="118">
        <f t="shared" si="7"/>
        <v>7.0298629208351098E-4</v>
      </c>
      <c r="P33" s="27">
        <v>1059.9641063569672</v>
      </c>
      <c r="Q33" s="110">
        <f t="shared" si="0"/>
        <v>9.4342817271137575E-4</v>
      </c>
      <c r="R33" s="26">
        <v>0.94617313432835792</v>
      </c>
      <c r="S33" s="27">
        <f t="shared" ca="1" si="14"/>
        <v>1912.2544361775533</v>
      </c>
      <c r="T33" s="27">
        <f t="shared" si="9"/>
        <v>83.867006145742323</v>
      </c>
      <c r="U33" s="27">
        <f t="shared" si="10"/>
        <v>1558.0882352941176</v>
      </c>
    </row>
    <row r="34" spans="1:21" x14ac:dyDescent="0.2">
      <c r="A34" s="143"/>
      <c r="B34" s="30">
        <v>19450</v>
      </c>
      <c r="C34" s="88" t="s">
        <v>30</v>
      </c>
      <c r="D34" s="114">
        <f t="shared" si="1"/>
        <v>17.70027842479811</v>
      </c>
      <c r="E34" s="116">
        <v>1</v>
      </c>
      <c r="F34" s="116"/>
      <c r="G34" s="90">
        <f t="shared" si="2"/>
        <v>18.70027842479811</v>
      </c>
      <c r="H34" s="89">
        <v>17.70027842479811</v>
      </c>
      <c r="I34" s="111">
        <v>77.236777063766695</v>
      </c>
      <c r="J34" s="27">
        <f t="shared" si="3"/>
        <v>1367.1124586627311</v>
      </c>
      <c r="K34" s="27">
        <f t="shared" ca="1" si="4"/>
        <v>2202.9653799515563</v>
      </c>
      <c r="L34" s="27">
        <f t="shared" ca="1" si="5"/>
        <v>124.45936312872905</v>
      </c>
      <c r="M34" s="27">
        <v>5191.2234837167607</v>
      </c>
      <c r="N34" s="118">
        <f t="shared" ca="1" si="6"/>
        <v>1.8173793479209499E-2</v>
      </c>
      <c r="O34" s="118">
        <f t="shared" si="7"/>
        <v>8.464982508272649E-3</v>
      </c>
      <c r="P34" s="27">
        <v>293.2848489232718</v>
      </c>
      <c r="Q34" s="110">
        <f t="shared" si="0"/>
        <v>3.4096544832481843E-3</v>
      </c>
      <c r="R34" s="26">
        <v>0.84560497315625893</v>
      </c>
      <c r="S34" s="27">
        <f t="shared" ca="1" si="14"/>
        <v>1973.9649266710669</v>
      </c>
      <c r="T34" s="27">
        <f t="shared" si="9"/>
        <v>801.49908912030833</v>
      </c>
      <c r="U34" s="27">
        <f t="shared" si="10"/>
        <v>5191.2234837167607</v>
      </c>
    </row>
    <row r="35" spans="1:21" x14ac:dyDescent="0.2">
      <c r="A35" s="143"/>
      <c r="B35" s="30">
        <v>19532</v>
      </c>
      <c r="C35" s="88" t="s">
        <v>28</v>
      </c>
      <c r="D35" s="114">
        <f t="shared" si="1"/>
        <v>53.788224912761571</v>
      </c>
      <c r="E35" s="116">
        <v>2</v>
      </c>
      <c r="F35" s="116"/>
      <c r="G35" s="90">
        <f t="shared" si="2"/>
        <v>55.788224912761571</v>
      </c>
      <c r="H35" s="89">
        <v>53.788224912761571</v>
      </c>
      <c r="I35" s="111">
        <v>33.909914920023468</v>
      </c>
      <c r="J35" s="27">
        <f t="shared" si="3"/>
        <v>1823.9541304908316</v>
      </c>
      <c r="K35" s="27">
        <f t="shared" ca="1" si="4"/>
        <v>2939.120171592423</v>
      </c>
      <c r="L35" s="27">
        <f t="shared" ca="1" si="5"/>
        <v>54.64244593234568</v>
      </c>
      <c r="M35" s="27">
        <v>7448.0643343304282</v>
      </c>
      <c r="N35" s="118">
        <f t="shared" ca="1" si="6"/>
        <v>2.6074697700179492E-2</v>
      </c>
      <c r="O35" s="118">
        <f t="shared" si="7"/>
        <v>2.572368479806866E-2</v>
      </c>
      <c r="P35" s="27">
        <v>138.47016417460046</v>
      </c>
      <c r="Q35" s="110">
        <f t="shared" si="0"/>
        <v>7.2217723287962259E-3</v>
      </c>
      <c r="R35" s="26">
        <v>0.82668571428571447</v>
      </c>
      <c r="S35" s="27">
        <f t="shared" ca="1" si="14"/>
        <v>2519.7247331279823</v>
      </c>
      <c r="T35" s="27">
        <f t="shared" si="9"/>
        <v>1290.8559500585236</v>
      </c>
      <c r="U35" s="27">
        <f t="shared" si="10"/>
        <v>7448.0643343304291</v>
      </c>
    </row>
    <row r="36" spans="1:21" x14ac:dyDescent="0.2">
      <c r="A36" s="144"/>
      <c r="B36" s="30">
        <v>19785</v>
      </c>
      <c r="C36" s="88" t="s">
        <v>31</v>
      </c>
      <c r="D36" s="114">
        <f t="shared" si="1"/>
        <v>11.61355881594654</v>
      </c>
      <c r="E36" s="116"/>
      <c r="F36" s="116"/>
      <c r="G36" s="90">
        <f t="shared" si="2"/>
        <v>11.61355881594654</v>
      </c>
      <c r="H36" s="89">
        <v>11.61355881594654</v>
      </c>
      <c r="I36" s="111">
        <v>503.90526581002757</v>
      </c>
      <c r="J36" s="27">
        <f t="shared" si="3"/>
        <v>5852.1334421499305</v>
      </c>
      <c r="K36" s="27">
        <f t="shared" ca="1" si="4"/>
        <v>9430.1293871051766</v>
      </c>
      <c r="L36" s="27">
        <f t="shared" ca="1" si="5"/>
        <v>811.99307951639219</v>
      </c>
      <c r="M36" s="27">
        <v>2170.7134674134418</v>
      </c>
      <c r="N36" s="118">
        <f t="shared" ca="1" si="6"/>
        <v>7.5993835331985291E-3</v>
      </c>
      <c r="O36" s="118">
        <f t="shared" si="7"/>
        <v>5.5540692567893546E-3</v>
      </c>
      <c r="P36" s="27">
        <v>186.91199672858608</v>
      </c>
      <c r="Q36" s="110">
        <f t="shared" si="0"/>
        <v>5.3501113759546141E-3</v>
      </c>
      <c r="R36" s="26">
        <v>0.80514312567132096</v>
      </c>
      <c r="S36" s="27">
        <f t="shared" ca="1" si="14"/>
        <v>8993.8398146305553</v>
      </c>
      <c r="T36" s="27">
        <f t="shared" si="9"/>
        <v>422.97844132335217</v>
      </c>
      <c r="U36" s="27">
        <f t="shared" si="10"/>
        <v>2170.7134674134418</v>
      </c>
    </row>
    <row r="37" spans="1:21" x14ac:dyDescent="0.2">
      <c r="A37" s="147" t="s">
        <v>55</v>
      </c>
      <c r="B37" s="30">
        <v>19022</v>
      </c>
      <c r="C37" s="88" t="s">
        <v>35</v>
      </c>
      <c r="D37" s="114">
        <f t="shared" si="1"/>
        <v>53.721571592274145</v>
      </c>
      <c r="E37" s="116"/>
      <c r="F37" s="116"/>
      <c r="G37" s="90">
        <f t="shared" si="2"/>
        <v>53.721571592274145</v>
      </c>
      <c r="H37" s="89">
        <v>53.721571592274145</v>
      </c>
      <c r="I37" s="111">
        <v>18.350778807052567</v>
      </c>
      <c r="J37" s="27">
        <f t="shared" si="3"/>
        <v>985.83267745706166</v>
      </c>
      <c r="K37" s="27">
        <f t="shared" ca="1" si="4"/>
        <v>1588.571038981828</v>
      </c>
      <c r="L37" s="27">
        <f t="shared" ca="1" si="5"/>
        <v>29.570449856502059</v>
      </c>
      <c r="M37" s="27">
        <v>6329.6937379407118</v>
      </c>
      <c r="N37" s="118">
        <f t="shared" ca="1" si="6"/>
        <v>2.2159428724424484E-2</v>
      </c>
      <c r="O37" s="118">
        <f t="shared" si="7"/>
        <v>2.569180850897855E-2</v>
      </c>
      <c r="P37" s="27">
        <v>117.82406117938298</v>
      </c>
      <c r="Q37" s="110">
        <f t="shared" si="0"/>
        <v>8.487230791319739E-3</v>
      </c>
      <c r="R37" s="26">
        <v>0.80482281307083403</v>
      </c>
      <c r="S37" s="27">
        <f ca="1">+K37/(1+(M37/SUM($M$36:$M$41)))</f>
        <v>1282.9782972692196</v>
      </c>
      <c r="T37" s="27">
        <f t="shared" si="9"/>
        <v>1235.4118178944257</v>
      </c>
      <c r="U37" s="27">
        <f t="shared" si="10"/>
        <v>6329.6937379407118</v>
      </c>
    </row>
    <row r="38" spans="1:21" x14ac:dyDescent="0.2">
      <c r="A38" s="143"/>
      <c r="B38" s="30">
        <v>19392</v>
      </c>
      <c r="C38" s="88" t="s">
        <v>36</v>
      </c>
      <c r="D38" s="114">
        <f t="shared" si="1"/>
        <v>12.174776162429792</v>
      </c>
      <c r="E38" s="116"/>
      <c r="F38" s="116"/>
      <c r="G38" s="90">
        <f t="shared" si="2"/>
        <v>12.174776162429792</v>
      </c>
      <c r="H38" s="89">
        <v>12.174776162429792</v>
      </c>
      <c r="I38" s="111">
        <v>73.106255556075411</v>
      </c>
      <c r="J38" s="27">
        <f t="shared" si="3"/>
        <v>890.05229746860743</v>
      </c>
      <c r="K38" s="27">
        <f t="shared" ca="1" si="4"/>
        <v>1434.2305091620908</v>
      </c>
      <c r="L38" s="27">
        <f t="shared" ca="1" si="5"/>
        <v>117.80343967127631</v>
      </c>
      <c r="M38" s="27">
        <v>2821.4278032933798</v>
      </c>
      <c r="N38" s="118">
        <f t="shared" ca="1" si="6"/>
        <v>9.8774491936998061E-3</v>
      </c>
      <c r="O38" s="118">
        <f t="shared" si="7"/>
        <v>5.8224658835149649E-3</v>
      </c>
      <c r="P38" s="27">
        <v>231.74371057432984</v>
      </c>
      <c r="Q38" s="110">
        <f t="shared" si="0"/>
        <v>4.315111713373807E-3</v>
      </c>
      <c r="R38" s="26">
        <v>0.88170786163522008</v>
      </c>
      <c r="S38" s="27">
        <f t="shared" ref="S38:S41" ca="1" si="15">+K38/(1+(M38/SUM($M$36:$M$41)))</f>
        <v>1296.5709838447044</v>
      </c>
      <c r="T38" s="27">
        <f t="shared" si="9"/>
        <v>333.75272809341755</v>
      </c>
      <c r="U38" s="27">
        <f t="shared" si="10"/>
        <v>2821.4278032933798</v>
      </c>
    </row>
    <row r="39" spans="1:21" x14ac:dyDescent="0.2">
      <c r="A39" s="143"/>
      <c r="B39" s="30">
        <v>19397</v>
      </c>
      <c r="C39" s="88" t="s">
        <v>34</v>
      </c>
      <c r="D39" s="114">
        <f t="shared" si="1"/>
        <v>15.681874057399611</v>
      </c>
      <c r="E39" s="116"/>
      <c r="F39" s="116"/>
      <c r="G39" s="90">
        <f t="shared" si="2"/>
        <v>15.681874057399611</v>
      </c>
      <c r="H39" s="89">
        <v>15.681874057399611</v>
      </c>
      <c r="I39" s="111">
        <v>12.443656678019016</v>
      </c>
      <c r="J39" s="27">
        <f t="shared" si="3"/>
        <v>195.13985683821383</v>
      </c>
      <c r="K39" s="27">
        <f t="shared" ca="1" si="4"/>
        <v>314.44841727489643</v>
      </c>
      <c r="L39" s="27">
        <f t="shared" ca="1" si="5"/>
        <v>20.051711684709108</v>
      </c>
      <c r="M39" s="27">
        <v>7298.2931247602401</v>
      </c>
      <c r="N39" s="118">
        <f t="shared" ca="1" si="6"/>
        <v>2.555036831224276E-2</v>
      </c>
      <c r="O39" s="118">
        <f t="shared" si="7"/>
        <v>7.4997006491628942E-3</v>
      </c>
      <c r="P39" s="27">
        <v>465.39674391253544</v>
      </c>
      <c r="Q39" s="110">
        <f t="shared" si="0"/>
        <v>2.1487043325510145E-3</v>
      </c>
      <c r="R39" s="26">
        <v>0.92619245738422107</v>
      </c>
      <c r="S39" s="27">
        <f t="shared" ca="1" si="15"/>
        <v>246.69604368924254</v>
      </c>
      <c r="T39" s="27">
        <f t="shared" si="9"/>
        <v>538.66908082818782</v>
      </c>
      <c r="U39" s="27">
        <f t="shared" si="10"/>
        <v>7298.2931247602401</v>
      </c>
    </row>
    <row r="40" spans="1:21" x14ac:dyDescent="0.2">
      <c r="A40" s="143"/>
      <c r="B40" s="30">
        <v>19622</v>
      </c>
      <c r="C40" s="88" t="s">
        <v>37</v>
      </c>
      <c r="D40" s="114">
        <f t="shared" si="1"/>
        <v>6.7378573425806518</v>
      </c>
      <c r="E40" s="116"/>
      <c r="F40" s="116"/>
      <c r="G40" s="90">
        <f t="shared" si="2"/>
        <v>6.7378573425806518</v>
      </c>
      <c r="H40" s="89">
        <v>6.7378573425806518</v>
      </c>
      <c r="I40" s="111">
        <v>52.582953552951302</v>
      </c>
      <c r="J40" s="27">
        <f t="shared" si="3"/>
        <v>354.29643969133031</v>
      </c>
      <c r="K40" s="27">
        <f t="shared" ca="1" si="4"/>
        <v>570.91337726785105</v>
      </c>
      <c r="L40" s="27">
        <f t="shared" ca="1" si="5"/>
        <v>84.732185358081026</v>
      </c>
      <c r="M40" s="27">
        <v>3490.710435117443</v>
      </c>
      <c r="N40" s="118">
        <f t="shared" ca="1" si="6"/>
        <v>1.2220520026258857E-2</v>
      </c>
      <c r="O40" s="118">
        <f t="shared" si="7"/>
        <v>3.2223134110859167E-3</v>
      </c>
      <c r="P40" s="27">
        <v>518.07425679043445</v>
      </c>
      <c r="Q40" s="110">
        <f t="shared" si="0"/>
        <v>1.9302252271618057E-3</v>
      </c>
      <c r="R40" s="26">
        <v>0.92648809523809494</v>
      </c>
      <c r="S40" s="27">
        <f t="shared" ca="1" si="15"/>
        <v>504.62685815765735</v>
      </c>
      <c r="T40" s="27">
        <f t="shared" si="9"/>
        <v>256.60877305774164</v>
      </c>
      <c r="U40" s="27">
        <f t="shared" si="10"/>
        <v>3490.710435117443</v>
      </c>
    </row>
    <row r="41" spans="1:21" x14ac:dyDescent="0.2">
      <c r="A41" s="144"/>
      <c r="B41" s="30">
        <v>19760</v>
      </c>
      <c r="C41" s="88" t="s">
        <v>33</v>
      </c>
      <c r="D41" s="114">
        <f t="shared" si="1"/>
        <v>18.636131639700817</v>
      </c>
      <c r="E41" s="116"/>
      <c r="F41" s="116"/>
      <c r="G41" s="90">
        <f t="shared" si="2"/>
        <v>18.636131639700817</v>
      </c>
      <c r="H41" s="89">
        <v>18.636131639700817</v>
      </c>
      <c r="I41" s="111">
        <v>36.116859711281819</v>
      </c>
      <c r="J41" s="27">
        <f t="shared" si="3"/>
        <v>673.07855199205483</v>
      </c>
      <c r="K41" s="27">
        <f t="shared" ca="1" si="4"/>
        <v>1084.5989579210045</v>
      </c>
      <c r="L41" s="27">
        <f t="shared" ca="1" si="5"/>
        <v>58.1987173566894</v>
      </c>
      <c r="M41" s="27">
        <v>4463.2863554757632</v>
      </c>
      <c r="N41" s="118">
        <f t="shared" ca="1" si="6"/>
        <v>1.5625380937157103E-2</v>
      </c>
      <c r="O41" s="118">
        <f t="shared" si="7"/>
        <v>8.9125450213777217E-3</v>
      </c>
      <c r="P41" s="27">
        <v>239.4963955914306</v>
      </c>
      <c r="Q41" s="110">
        <f t="shared" si="0"/>
        <v>4.175428183503656E-3</v>
      </c>
      <c r="R41" s="26">
        <v>0.88776380103507746</v>
      </c>
      <c r="S41" s="27">
        <f t="shared" ca="1" si="15"/>
        <v>928.62990217526817</v>
      </c>
      <c r="T41" s="27">
        <f t="shared" si="9"/>
        <v>500.94229543060175</v>
      </c>
      <c r="U41" s="27">
        <f t="shared" si="10"/>
        <v>4463.2863554757632</v>
      </c>
    </row>
    <row r="42" spans="1:21" x14ac:dyDescent="0.2">
      <c r="A42" s="147" t="s">
        <v>184</v>
      </c>
      <c r="B42" s="30">
        <v>19533</v>
      </c>
      <c r="C42" s="88" t="s">
        <v>38</v>
      </c>
      <c r="D42" s="114">
        <f t="shared" si="1"/>
        <v>76.127548745606603</v>
      </c>
      <c r="E42" s="116"/>
      <c r="F42" s="116"/>
      <c r="G42" s="90">
        <f t="shared" si="2"/>
        <v>76.127548745606603</v>
      </c>
      <c r="H42" s="89">
        <v>76.127548745606603</v>
      </c>
      <c r="I42" s="111">
        <v>36.534004389925975</v>
      </c>
      <c r="J42" s="27">
        <f t="shared" si="3"/>
        <v>2781.2442000662954</v>
      </c>
      <c r="K42" s="27">
        <f t="shared" ca="1" si="4"/>
        <v>4481.69764463294</v>
      </c>
      <c r="L42" s="27">
        <f t="shared" ca="1" si="5"/>
        <v>58.870904402942351</v>
      </c>
      <c r="M42" s="27">
        <v>2957.4009172438705</v>
      </c>
      <c r="N42" s="118">
        <f t="shared" ca="1" si="6"/>
        <v>1.0353473256122171E-2</v>
      </c>
      <c r="O42" s="118">
        <f t="shared" si="7"/>
        <v>3.6407244737258058E-2</v>
      </c>
      <c r="P42" s="27">
        <v>38.847972461671375</v>
      </c>
      <c r="Q42" s="110">
        <f t="shared" si="0"/>
        <v>2.5741369153477221E-2</v>
      </c>
      <c r="R42" s="26">
        <v>0.309090837696335</v>
      </c>
      <c r="S42" s="27">
        <f ca="1">+K42/(1+(M42/SUM($M$42:$M$44)))</f>
        <v>3366.0379447457126</v>
      </c>
      <c r="T42" s="27">
        <f t="shared" si="9"/>
        <v>2043.2953903290529</v>
      </c>
      <c r="U42" s="27">
        <f t="shared" si="10"/>
        <v>2957.4009172438705</v>
      </c>
    </row>
    <row r="43" spans="1:21" x14ac:dyDescent="0.2">
      <c r="A43" s="143"/>
      <c r="B43" s="30">
        <v>19693</v>
      </c>
      <c r="C43" s="88" t="s">
        <v>39</v>
      </c>
      <c r="D43" s="114">
        <f t="shared" si="1"/>
        <v>13.786712945203202</v>
      </c>
      <c r="E43" s="116"/>
      <c r="F43" s="116"/>
      <c r="G43" s="90">
        <f t="shared" si="2"/>
        <v>13.786712945203202</v>
      </c>
      <c r="H43" s="89">
        <v>13.786712945203202</v>
      </c>
      <c r="I43" s="111">
        <v>4.8940037100463325</v>
      </c>
      <c r="J43" s="27">
        <f t="shared" si="3"/>
        <v>67.472224303168275</v>
      </c>
      <c r="K43" s="27">
        <f t="shared" ca="1" si="4"/>
        <v>108.72476020999764</v>
      </c>
      <c r="L43" s="27">
        <f t="shared" ca="1" si="5"/>
        <v>7.8861988816432227</v>
      </c>
      <c r="M43" s="27">
        <v>3956.3931906614789</v>
      </c>
      <c r="N43" s="118">
        <f t="shared" ca="1" si="6"/>
        <v>1.3850814359113719E-2</v>
      </c>
      <c r="O43" s="118">
        <f t="shared" si="7"/>
        <v>6.5933586538513642E-3</v>
      </c>
      <c r="P43" s="27">
        <v>286.9714634943511</v>
      </c>
      <c r="Q43" s="110">
        <f t="shared" si="0"/>
        <v>3.4846670390963263E-3</v>
      </c>
      <c r="R43" s="26">
        <v>0.87424266984505361</v>
      </c>
      <c r="S43" s="27">
        <f t="shared" ref="S43:S44" ca="1" si="16">+K43/(1+(M43/SUM($M$42:$M$44)))</f>
        <v>75.325118694711719</v>
      </c>
      <c r="T43" s="27">
        <f t="shared" si="9"/>
        <v>497.54544470079736</v>
      </c>
      <c r="U43" s="27">
        <f t="shared" si="10"/>
        <v>3956.3931906614785</v>
      </c>
    </row>
    <row r="44" spans="1:21" x14ac:dyDescent="0.2">
      <c r="A44" s="144"/>
      <c r="B44" s="30">
        <v>19701</v>
      </c>
      <c r="C44" s="88" t="s">
        <v>40</v>
      </c>
      <c r="D44" s="114">
        <f t="shared" si="1"/>
        <v>18.764093024894134</v>
      </c>
      <c r="E44" s="116"/>
      <c r="F44" s="116"/>
      <c r="G44" s="90">
        <f t="shared" si="2"/>
        <v>18.764093024894134</v>
      </c>
      <c r="H44" s="89">
        <v>18.764093024894134</v>
      </c>
      <c r="I44" s="111">
        <v>26.554500456737408</v>
      </c>
      <c r="J44" s="27">
        <f t="shared" si="3"/>
        <v>498.27111679981448</v>
      </c>
      <c r="K44" s="27">
        <f t="shared" ca="1" si="4"/>
        <v>802.91421030095944</v>
      </c>
      <c r="L44" s="27">
        <f t="shared" ca="1" si="5"/>
        <v>42.789929107457588</v>
      </c>
      <c r="M44" s="27">
        <v>2008.9300043619337</v>
      </c>
      <c r="N44" s="118">
        <f t="shared" ca="1" si="6"/>
        <v>7.0330008191674389E-3</v>
      </c>
      <c r="O44" s="118">
        <f t="shared" si="7"/>
        <v>8.9737412840239766E-3</v>
      </c>
      <c r="P44" s="27">
        <v>107.06246242206892</v>
      </c>
      <c r="Q44" s="110">
        <f t="shared" si="0"/>
        <v>9.3403418656459822E-3</v>
      </c>
      <c r="R44" s="26">
        <v>0.7958265720645521</v>
      </c>
      <c r="S44" s="27">
        <f t="shared" ca="1" si="16"/>
        <v>655.36120223894306</v>
      </c>
      <c r="T44" s="27">
        <f t="shared" si="9"/>
        <v>410.1701254729503</v>
      </c>
      <c r="U44" s="27">
        <f t="shared" si="10"/>
        <v>2008.9300043619337</v>
      </c>
    </row>
    <row r="45" spans="1:21" x14ac:dyDescent="0.2">
      <c r="A45" s="145" t="s">
        <v>61</v>
      </c>
      <c r="B45" s="145"/>
      <c r="C45" s="145"/>
      <c r="D45" s="117">
        <f>SUM(D3:D44)</f>
        <v>2090.9999999999995</v>
      </c>
      <c r="E45" s="117">
        <f t="shared" ref="E45:H45" si="17">SUM(E3:E44)</f>
        <v>55</v>
      </c>
      <c r="F45" s="117">
        <f t="shared" si="17"/>
        <v>8</v>
      </c>
      <c r="G45" s="117">
        <f t="shared" si="17"/>
        <v>2153.9999999999995</v>
      </c>
      <c r="H45" s="117">
        <f t="shared" si="17"/>
        <v>2090.9999999999995</v>
      </c>
      <c r="I45" s="117">
        <f t="shared" ref="I45" si="18">SUM(I3:I44)</f>
        <v>10401.726404245996</v>
      </c>
      <c r="J45" s="117">
        <f t="shared" ref="J45" si="19">SUM(J3:J44)</f>
        <v>177264.06576024732</v>
      </c>
      <c r="K45" s="117">
        <f t="shared" ref="K45" ca="1" si="20">SUM(K3:K44)</f>
        <v>2090.9999999999995</v>
      </c>
      <c r="L45" s="117">
        <f t="shared" ref="L45" ca="1" si="21">SUM(L3:L44)</f>
        <v>2090.9999999999995</v>
      </c>
      <c r="M45" s="117">
        <f t="shared" ref="M45" si="22">SUM(M3:M44)</f>
        <v>285643.36277153302</v>
      </c>
      <c r="N45" s="117">
        <f t="shared" ref="N45" ca="1" si="23">SUM(N3:N44)</f>
        <v>2090.9999999999995</v>
      </c>
      <c r="O45" s="117">
        <f t="shared" ref="O45" si="24">SUM(O3:O44)</f>
        <v>1</v>
      </c>
      <c r="P45" s="117">
        <f t="shared" ref="P45" si="25">SUM(P3:P44)</f>
        <v>13151.733370064752</v>
      </c>
      <c r="Q45" s="117">
        <f t="shared" ref="Q45" si="26">SUM(Q3:Q44)</f>
        <v>0.30539324350194919</v>
      </c>
      <c r="R45" s="117">
        <f t="shared" ref="R45" si="27">SUM(R3:R44)</f>
        <v>35.320537123705975</v>
      </c>
      <c r="S45" s="117">
        <f t="shared" ref="S45" ca="1" si="28">SUM(S3:S44)</f>
        <v>285643.36277153302</v>
      </c>
      <c r="T45" s="117">
        <f t="shared" ref="T45" si="29">SUM(T3:T44)</f>
        <v>43464.770552359114</v>
      </c>
      <c r="U45" s="117">
        <f t="shared" ref="U45" si="30">SUM(U3:U44)</f>
        <v>285643.36277153302</v>
      </c>
    </row>
    <row r="48" spans="1:21" x14ac:dyDescent="0.2">
      <c r="A48" t="s">
        <v>206</v>
      </c>
    </row>
    <row r="50" spans="4:11" x14ac:dyDescent="0.2">
      <c r="D50" s="27"/>
      <c r="E50" s="27"/>
      <c r="K50">
        <f ca="1">+J45/K45</f>
        <v>0.62057827649238595</v>
      </c>
    </row>
  </sheetData>
  <mergeCells count="13">
    <mergeCell ref="I1:I2"/>
    <mergeCell ref="A3:A10"/>
    <mergeCell ref="A45:C45"/>
    <mergeCell ref="C1:C2"/>
    <mergeCell ref="A1:A2"/>
    <mergeCell ref="D1:G1"/>
    <mergeCell ref="A42:A44"/>
    <mergeCell ref="A37:A41"/>
    <mergeCell ref="A30:A36"/>
    <mergeCell ref="A27:A29"/>
    <mergeCell ref="A24:A26"/>
    <mergeCell ref="A11:A23"/>
    <mergeCell ref="B1:B2"/>
  </mergeCells>
  <conditionalFormatting sqref="R3:R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E279-5DF1-1B44-9BD3-DC86EBFE0DC3}">
  <dimension ref="A1:S50"/>
  <sheetViews>
    <sheetView topLeftCell="Q1" zoomScale="150" workbookViewId="0">
      <selection activeCell="J9" sqref="J9"/>
    </sheetView>
  </sheetViews>
  <sheetFormatPr baseColWidth="10" defaultRowHeight="16" x14ac:dyDescent="0.2"/>
  <cols>
    <col min="1" max="2" width="13.6640625" customWidth="1"/>
    <col min="3" max="3" width="22.83203125" customWidth="1"/>
    <col min="4" max="4" width="22.33203125" customWidth="1"/>
    <col min="5" max="5" width="15.33203125" customWidth="1"/>
    <col min="6" max="6" width="16.1640625" customWidth="1"/>
    <col min="7" max="7" width="11.6640625" style="53" customWidth="1"/>
    <col min="8" max="13" width="10.83203125" customWidth="1"/>
    <col min="15" max="15" width="10.83203125" customWidth="1"/>
    <col min="16" max="16" width="15.83203125" customWidth="1"/>
    <col min="17" max="18" width="10.83203125" customWidth="1"/>
  </cols>
  <sheetData>
    <row r="1" spans="1:19" ht="16" customHeight="1" x14ac:dyDescent="0.2">
      <c r="A1" s="146" t="s">
        <v>130</v>
      </c>
      <c r="B1" s="148" t="s">
        <v>122</v>
      </c>
      <c r="C1" s="146" t="s">
        <v>41</v>
      </c>
      <c r="D1" s="146" t="s">
        <v>185</v>
      </c>
      <c r="E1" s="146"/>
      <c r="F1" s="112"/>
      <c r="G1" s="146" t="s">
        <v>189</v>
      </c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</row>
    <row r="2" spans="1:19" ht="64.25" customHeight="1" x14ac:dyDescent="0.2">
      <c r="A2" s="146"/>
      <c r="B2" s="149"/>
      <c r="C2" s="146"/>
      <c r="D2" s="112" t="s">
        <v>186</v>
      </c>
      <c r="E2" s="112" t="s">
        <v>207</v>
      </c>
      <c r="F2" s="112" t="s">
        <v>205</v>
      </c>
      <c r="G2" s="146"/>
      <c r="H2" s="112"/>
      <c r="I2" s="112"/>
      <c r="J2" s="112" t="s">
        <v>208</v>
      </c>
      <c r="K2" s="112" t="s">
        <v>209</v>
      </c>
      <c r="L2" s="112" t="s">
        <v>210</v>
      </c>
      <c r="M2" s="112" t="s">
        <v>212</v>
      </c>
      <c r="N2" s="112" t="s">
        <v>211</v>
      </c>
      <c r="O2" s="112"/>
      <c r="P2" s="112" t="s">
        <v>213</v>
      </c>
      <c r="Q2" s="127"/>
      <c r="R2" s="127"/>
      <c r="S2" s="112" t="s">
        <v>214</v>
      </c>
    </row>
    <row r="3" spans="1:19" x14ac:dyDescent="0.2">
      <c r="A3" s="143" t="s">
        <v>54</v>
      </c>
      <c r="B3" s="120">
        <v>19001</v>
      </c>
      <c r="C3" s="87" t="s">
        <v>42</v>
      </c>
      <c r="D3" s="121">
        <f>+F3</f>
        <v>114.08733476582572</v>
      </c>
      <c r="E3" s="122">
        <f t="shared" ref="E3:E44" si="0">SUM(D3:D3)</f>
        <v>114.08733476582572</v>
      </c>
      <c r="F3" s="122">
        <v>114.08733476582572</v>
      </c>
      <c r="G3" s="122">
        <v>7.5439631999439936</v>
      </c>
      <c r="H3" s="124">
        <f>+F3*G3</f>
        <v>860.67065505308017</v>
      </c>
      <c r="I3" s="124">
        <f ca="1">+(H3/$H$45*$I$45)</f>
        <v>1386.8849227493706</v>
      </c>
      <c r="J3" s="124">
        <f ca="1">+I3/F3</f>
        <v>12.15634430934927</v>
      </c>
      <c r="K3" s="124">
        <v>19818.364985047963</v>
      </c>
      <c r="L3" s="125">
        <f ca="1">+K3/$I$45</f>
        <v>6.9381500038211447E-2</v>
      </c>
      <c r="M3" s="125">
        <f>+F3/2091</f>
        <v>5.4561135708190205E-2</v>
      </c>
      <c r="N3" s="121">
        <v>173.71222691569488</v>
      </c>
      <c r="O3" s="121">
        <f t="shared" ref="O3:O44" si="1">+F3/K3</f>
        <v>5.7566471730588938E-3</v>
      </c>
      <c r="P3" s="121">
        <v>0.96677826351468799</v>
      </c>
      <c r="Q3" s="121">
        <f ca="1">+I3/(1+(K3/SUM($K$3:$K$9)))</f>
        <v>1106.7948324947031</v>
      </c>
      <c r="R3" s="121">
        <f>+K3*(1-P3)</f>
        <v>658.40049910299797</v>
      </c>
      <c r="S3" s="121">
        <f>+N3*F3</f>
        <v>19818.364985047963</v>
      </c>
    </row>
    <row r="4" spans="1:19" x14ac:dyDescent="0.2">
      <c r="A4" s="143"/>
      <c r="B4" s="120">
        <v>19130</v>
      </c>
      <c r="C4" s="88" t="s">
        <v>1</v>
      </c>
      <c r="D4" s="121">
        <f t="shared" ref="D4:D44" si="2">+F4</f>
        <v>62.953565436678524</v>
      </c>
      <c r="E4" s="123">
        <f t="shared" si="0"/>
        <v>62.953565436678524</v>
      </c>
      <c r="F4" s="122">
        <v>62.953565436678524</v>
      </c>
      <c r="G4" s="123">
        <v>125.26148334648578</v>
      </c>
      <c r="H4" s="124">
        <f t="shared" ref="H4:H44" si="3">+F4*G4</f>
        <v>7885.6569885484096</v>
      </c>
      <c r="I4" s="124">
        <f t="shared" ref="I4:I44" ca="1" si="4">+H4/$H$45*$I$45</f>
        <v>12706.949771299578</v>
      </c>
      <c r="J4" s="124">
        <f t="shared" ref="J4:J44" ca="1" si="5">+I4/F4</f>
        <v>201.84638762169538</v>
      </c>
      <c r="K4" s="124">
        <v>11642.716768813423</v>
      </c>
      <c r="L4" s="125">
        <f t="shared" ref="L4:L44" ca="1" si="6">+K4/$I$45</f>
        <v>4.0759626465137408E-2</v>
      </c>
      <c r="M4" s="125">
        <f t="shared" ref="M4:M44" si="7">+F4/2091</f>
        <v>3.0106917951544011E-2</v>
      </c>
      <c r="N4" s="121">
        <v>184.941340304612</v>
      </c>
      <c r="O4" s="121">
        <f t="shared" si="1"/>
        <v>5.4071198919231709E-3</v>
      </c>
      <c r="P4" s="121">
        <v>0.88703134268132744</v>
      </c>
      <c r="Q4" s="121">
        <f t="shared" ref="Q4:Q10" ca="1" si="8">+I4/(1+(K4/SUM($K$3:$K$9)))</f>
        <v>11062.335822984929</v>
      </c>
      <c r="R4" s="121">
        <f t="shared" ref="R4:R44" si="9">+K4*(1-P4)</f>
        <v>1315.2620809144462</v>
      </c>
      <c r="S4" s="121">
        <f t="shared" ref="S4:S44" si="10">+N4*F4</f>
        <v>11642.716768813423</v>
      </c>
    </row>
    <row r="5" spans="1:19" x14ac:dyDescent="0.2">
      <c r="A5" s="143"/>
      <c r="B5" s="120">
        <v>19256</v>
      </c>
      <c r="C5" s="88" t="s">
        <v>2</v>
      </c>
      <c r="D5" s="121">
        <f t="shared" si="2"/>
        <v>117.74652891579554</v>
      </c>
      <c r="E5" s="123">
        <f t="shared" si="0"/>
        <v>117.74652891579554</v>
      </c>
      <c r="F5" s="122">
        <v>117.74652891579554</v>
      </c>
      <c r="G5" s="123">
        <v>71.115662513511992</v>
      </c>
      <c r="H5" s="124">
        <f t="shared" si="3"/>
        <v>8373.6224125131957</v>
      </c>
      <c r="I5" s="124">
        <f t="shared" ca="1" si="4"/>
        <v>13493.257385421764</v>
      </c>
      <c r="J5" s="124">
        <f t="shared" ca="1" si="5"/>
        <v>114.59579751239411</v>
      </c>
      <c r="K5" s="124">
        <v>16809.453083349603</v>
      </c>
      <c r="L5" s="125">
        <f t="shared" ca="1" si="6"/>
        <v>5.8847693572331862E-2</v>
      </c>
      <c r="M5" s="125">
        <f t="shared" si="7"/>
        <v>5.6311108998467495E-2</v>
      </c>
      <c r="N5" s="121">
        <v>142.7596485274789</v>
      </c>
      <c r="O5" s="121">
        <f t="shared" si="1"/>
        <v>7.0047804846445549E-3</v>
      </c>
      <c r="P5" s="121">
        <v>0.83594277452714649</v>
      </c>
      <c r="Q5" s="121">
        <f t="shared" ca="1" si="8"/>
        <v>11108.827281719112</v>
      </c>
      <c r="R5" s="121">
        <f t="shared" si="9"/>
        <v>2757.7122345704383</v>
      </c>
      <c r="S5" s="121">
        <f t="shared" si="10"/>
        <v>16809.453083349603</v>
      </c>
    </row>
    <row r="6" spans="1:19" x14ac:dyDescent="0.2">
      <c r="A6" s="143"/>
      <c r="B6" s="120">
        <v>19473</v>
      </c>
      <c r="C6" s="88" t="s">
        <v>3</v>
      </c>
      <c r="D6" s="121">
        <f t="shared" si="2"/>
        <v>108.00198602709409</v>
      </c>
      <c r="E6" s="123">
        <f t="shared" si="0"/>
        <v>108.00198602709409</v>
      </c>
      <c r="F6" s="122">
        <v>108.00198602709409</v>
      </c>
      <c r="G6" s="123">
        <v>165.24555489457336</v>
      </c>
      <c r="H6" s="124">
        <f t="shared" si="3"/>
        <v>17846.848110763123</v>
      </c>
      <c r="I6" s="124">
        <f t="shared" ca="1" si="4"/>
        <v>28758.415798304362</v>
      </c>
      <c r="J6" s="124">
        <f t="shared" ca="1" si="5"/>
        <v>266.27673116205324</v>
      </c>
      <c r="K6" s="124">
        <v>10390.480063795854</v>
      </c>
      <c r="L6" s="125">
        <f t="shared" ca="1" si="6"/>
        <v>3.6375709776622758E-2</v>
      </c>
      <c r="M6" s="125">
        <f t="shared" si="7"/>
        <v>5.1650878061737966E-2</v>
      </c>
      <c r="N6" s="121">
        <v>96.206379586290481</v>
      </c>
      <c r="O6" s="121">
        <f t="shared" si="1"/>
        <v>1.0394321086608078E-2</v>
      </c>
      <c r="P6" s="121">
        <v>0.81646577484364147</v>
      </c>
      <c r="Q6" s="121">
        <f t="shared" ca="1" si="8"/>
        <v>25389.757470023425</v>
      </c>
      <c r="R6" s="121">
        <f t="shared" si="9"/>
        <v>1907.0087075113629</v>
      </c>
      <c r="S6" s="121">
        <f t="shared" si="10"/>
        <v>10390.480063795854</v>
      </c>
    </row>
    <row r="7" spans="1:19" x14ac:dyDescent="0.2">
      <c r="A7" s="143"/>
      <c r="B7" s="120">
        <v>19548</v>
      </c>
      <c r="C7" s="88" t="s">
        <v>4</v>
      </c>
      <c r="D7" s="121">
        <f t="shared" si="2"/>
        <v>30.045857983500415</v>
      </c>
      <c r="E7" s="123">
        <f t="shared" si="0"/>
        <v>30.045857983500415</v>
      </c>
      <c r="F7" s="122">
        <v>30.045857983500415</v>
      </c>
      <c r="G7" s="123">
        <v>178.7757437070938</v>
      </c>
      <c r="H7" s="124">
        <f t="shared" si="3"/>
        <v>5371.4706063180083</v>
      </c>
      <c r="I7" s="124">
        <f t="shared" ca="1" si="4"/>
        <v>8655.5891654449697</v>
      </c>
      <c r="J7" s="124">
        <f t="shared" ca="1" si="5"/>
        <v>288.07928101764173</v>
      </c>
      <c r="K7" s="124">
        <v>8016.2046558933216</v>
      </c>
      <c r="L7" s="125">
        <f t="shared" ca="1" si="6"/>
        <v>2.8063682551955342E-2</v>
      </c>
      <c r="M7" s="125">
        <f t="shared" si="7"/>
        <v>1.4369133421090585E-2</v>
      </c>
      <c r="N7" s="121">
        <v>266.79899306904116</v>
      </c>
      <c r="O7" s="121">
        <f t="shared" si="1"/>
        <v>3.7481400829021275E-3</v>
      </c>
      <c r="P7" s="121">
        <v>0.91945696552702505</v>
      </c>
      <c r="Q7" s="121">
        <f t="shared" ca="1" si="8"/>
        <v>7851.8693777640801</v>
      </c>
      <c r="R7" s="121">
        <f t="shared" si="9"/>
        <v>645.64944794203814</v>
      </c>
      <c r="S7" s="121">
        <f t="shared" si="10"/>
        <v>8016.2046558933225</v>
      </c>
    </row>
    <row r="8" spans="1:19" x14ac:dyDescent="0.2">
      <c r="A8" s="143"/>
      <c r="B8" s="120">
        <v>19585</v>
      </c>
      <c r="C8" s="88" t="s">
        <v>5</v>
      </c>
      <c r="D8" s="121">
        <f t="shared" si="2"/>
        <v>12.28322761177323</v>
      </c>
      <c r="E8" s="123">
        <f t="shared" si="0"/>
        <v>12.28322761177323</v>
      </c>
      <c r="F8" s="122">
        <v>12.28322761177323</v>
      </c>
      <c r="G8" s="123">
        <v>1258.4314909896307</v>
      </c>
      <c r="H8" s="124">
        <f t="shared" si="3"/>
        <v>15457.600437648785</v>
      </c>
      <c r="I8" s="124">
        <f t="shared" ca="1" si="4"/>
        <v>24908.38146159059</v>
      </c>
      <c r="J8" s="124">
        <f t="shared" ca="1" si="5"/>
        <v>2027.8368397013503</v>
      </c>
      <c r="K8" s="124">
        <v>3676.6615088282501</v>
      </c>
      <c r="L8" s="125">
        <f t="shared" ca="1" si="6"/>
        <v>1.2871510379777195E-2</v>
      </c>
      <c r="M8" s="125">
        <f t="shared" si="7"/>
        <v>5.8743317129475031E-3</v>
      </c>
      <c r="N8" s="121">
        <v>299.32373029579321</v>
      </c>
      <c r="O8" s="121">
        <f t="shared" si="1"/>
        <v>3.3408644179724577E-3</v>
      </c>
      <c r="P8" s="121">
        <v>0.84319525801952588</v>
      </c>
      <c r="Q8" s="121">
        <f t="shared" ca="1" si="8"/>
        <v>23791.423385806058</v>
      </c>
      <c r="R8" s="121">
        <f t="shared" si="9"/>
        <v>576.51795924135445</v>
      </c>
      <c r="S8" s="121">
        <f t="shared" si="10"/>
        <v>3676.6615088282501</v>
      </c>
    </row>
    <row r="9" spans="1:19" x14ac:dyDescent="0.2">
      <c r="A9" s="143"/>
      <c r="B9" s="120">
        <v>19743</v>
      </c>
      <c r="C9" s="88" t="s">
        <v>6</v>
      </c>
      <c r="D9" s="121">
        <f t="shared" si="2"/>
        <v>41.648640342034327</v>
      </c>
      <c r="E9" s="123">
        <f t="shared" si="0"/>
        <v>41.648640342034327</v>
      </c>
      <c r="F9" s="122">
        <v>41.648640342034327</v>
      </c>
      <c r="G9" s="123">
        <v>247.80568069742432</v>
      </c>
      <c r="H9" s="124">
        <f t="shared" si="3"/>
        <v>10320.769670080024</v>
      </c>
      <c r="I9" s="124">
        <f t="shared" ca="1" si="4"/>
        <v>16630.890994790811</v>
      </c>
      <c r="J9" s="124">
        <f t="shared" ca="1" si="5"/>
        <v>399.3141398665519</v>
      </c>
      <c r="K9" s="124">
        <v>7959.7212970010651</v>
      </c>
      <c r="L9" s="125">
        <f t="shared" ca="1" si="6"/>
        <v>2.7865941710564137E-2</v>
      </c>
      <c r="M9" s="125">
        <f t="shared" si="7"/>
        <v>1.9918048944062329E-2</v>
      </c>
      <c r="N9" s="121">
        <v>191.11599398282476</v>
      </c>
      <c r="O9" s="121">
        <f t="shared" si="1"/>
        <v>5.2324244515603866E-3</v>
      </c>
      <c r="P9" s="121">
        <v>0.80585762550559092</v>
      </c>
      <c r="Q9" s="121">
        <f t="shared" ca="1" si="8"/>
        <v>15096.497144828021</v>
      </c>
      <c r="R9" s="121">
        <f t="shared" si="9"/>
        <v>1545.3191929135044</v>
      </c>
      <c r="S9" s="121">
        <f t="shared" si="10"/>
        <v>7959.7212970010651</v>
      </c>
    </row>
    <row r="10" spans="1:19" x14ac:dyDescent="0.2">
      <c r="A10" s="144"/>
      <c r="B10" s="120">
        <v>19807</v>
      </c>
      <c r="C10" s="88" t="s">
        <v>49</v>
      </c>
      <c r="D10" s="121">
        <f t="shared" si="2"/>
        <v>19.917801831012916</v>
      </c>
      <c r="E10" s="123">
        <f t="shared" si="0"/>
        <v>19.917801831012916</v>
      </c>
      <c r="F10" s="122">
        <v>19.917801831012916</v>
      </c>
      <c r="G10" s="123">
        <v>195.14860566321258</v>
      </c>
      <c r="H10" s="124">
        <f t="shared" si="3"/>
        <v>3886.931255198353</v>
      </c>
      <c r="I10" s="124">
        <f t="shared" ca="1" si="4"/>
        <v>6263.4020597175113</v>
      </c>
      <c r="J10" s="124">
        <f t="shared" ca="1" si="5"/>
        <v>314.46251513382924</v>
      </c>
      <c r="K10" s="124">
        <v>7327.8959697853415</v>
      </c>
      <c r="L10" s="125">
        <f t="shared" ca="1" si="6"/>
        <v>2.5654003995347282E-2</v>
      </c>
      <c r="M10" s="125">
        <f t="shared" si="7"/>
        <v>9.5254910717421891E-3</v>
      </c>
      <c r="N10" s="121">
        <v>367.90686201001745</v>
      </c>
      <c r="O10" s="121">
        <f t="shared" si="1"/>
        <v>2.7180792294457714E-3</v>
      </c>
      <c r="P10" s="121">
        <v>0.9541280149607736</v>
      </c>
      <c r="Q10" s="121">
        <f t="shared" ca="1" si="8"/>
        <v>5727.4754399805979</v>
      </c>
      <c r="R10" s="121">
        <f t="shared" si="9"/>
        <v>336.14513429500067</v>
      </c>
      <c r="S10" s="121">
        <f t="shared" si="10"/>
        <v>7327.8959697853415</v>
      </c>
    </row>
    <row r="11" spans="1:19" x14ac:dyDescent="0.2">
      <c r="A11" s="147" t="s">
        <v>57</v>
      </c>
      <c r="B11" s="120">
        <v>19110</v>
      </c>
      <c r="C11" s="88" t="s">
        <v>9</v>
      </c>
      <c r="D11" s="121">
        <f t="shared" si="2"/>
        <v>62.184889036065826</v>
      </c>
      <c r="E11" s="123">
        <f t="shared" si="0"/>
        <v>62.184889036065826</v>
      </c>
      <c r="F11" s="122">
        <v>62.184889036065826</v>
      </c>
      <c r="G11" s="123">
        <v>152.68387719330389</v>
      </c>
      <c r="H11" s="124">
        <f t="shared" si="3"/>
        <v>9494.6299608619047</v>
      </c>
      <c r="I11" s="124">
        <f t="shared" ca="1" si="4"/>
        <v>15299.649247355497</v>
      </c>
      <c r="J11" s="124">
        <f t="shared" ca="1" si="5"/>
        <v>246.03484036904928</v>
      </c>
      <c r="K11" s="124">
        <v>9208.9261036468324</v>
      </c>
      <c r="L11" s="125">
        <f t="shared" ca="1" si="6"/>
        <v>3.2239244119991808E-2</v>
      </c>
      <c r="M11" s="125">
        <f t="shared" si="7"/>
        <v>2.9739306090897095E-2</v>
      </c>
      <c r="N11" s="121">
        <v>148.08945141489059</v>
      </c>
      <c r="O11" s="121">
        <f t="shared" si="1"/>
        <v>6.7526754299222736E-3</v>
      </c>
      <c r="P11" s="121">
        <v>0.84350099138631551</v>
      </c>
      <c r="Q11" s="121">
        <f ca="1">+I11/(1+(K11/SUM($K$11:$K$23)))</f>
        <v>13740.196667116112</v>
      </c>
      <c r="R11" s="121">
        <f t="shared" si="9"/>
        <v>1441.1878056174096</v>
      </c>
      <c r="S11" s="121">
        <f t="shared" si="10"/>
        <v>9208.9261036468324</v>
      </c>
    </row>
    <row r="12" spans="1:19" x14ac:dyDescent="0.2">
      <c r="A12" s="143"/>
      <c r="B12" s="120">
        <v>19137</v>
      </c>
      <c r="C12" s="88" t="s">
        <v>16</v>
      </c>
      <c r="D12" s="121">
        <f t="shared" si="2"/>
        <v>42.519735688602793</v>
      </c>
      <c r="E12" s="123">
        <f t="shared" si="0"/>
        <v>42.519735688602793</v>
      </c>
      <c r="F12" s="122">
        <v>42.519735688602793</v>
      </c>
      <c r="G12" s="123">
        <v>127.35089756912608</v>
      </c>
      <c r="H12" s="124">
        <f t="shared" si="3"/>
        <v>5414.9265043455689</v>
      </c>
      <c r="I12" s="124">
        <f t="shared" ca="1" si="4"/>
        <v>8725.6140110988981</v>
      </c>
      <c r="J12" s="124">
        <f t="shared" ca="1" si="5"/>
        <v>205.21327025646954</v>
      </c>
      <c r="K12" s="124">
        <v>10205.392698295034</v>
      </c>
      <c r="L12" s="125">
        <f t="shared" ca="1" si="6"/>
        <v>3.572774315242061E-2</v>
      </c>
      <c r="M12" s="125">
        <f t="shared" si="7"/>
        <v>2.0334641649260063E-2</v>
      </c>
      <c r="N12" s="121">
        <v>240.01543125844358</v>
      </c>
      <c r="O12" s="121">
        <f t="shared" si="1"/>
        <v>4.1663987800985222E-3</v>
      </c>
      <c r="P12" s="121">
        <v>0.82325752596989599</v>
      </c>
      <c r="Q12" s="121">
        <f t="shared" ref="Q12:Q23" ca="1" si="11">+I12/(1+(K12/SUM($K$11:$K$23)))</f>
        <v>7750.7507014683224</v>
      </c>
      <c r="R12" s="121">
        <f t="shared" si="9"/>
        <v>1803.7263539454232</v>
      </c>
      <c r="S12" s="121">
        <f t="shared" si="10"/>
        <v>10205.392698295034</v>
      </c>
    </row>
    <row r="13" spans="1:19" x14ac:dyDescent="0.2">
      <c r="A13" s="143"/>
      <c r="B13" s="120">
        <v>19142</v>
      </c>
      <c r="C13" s="88" t="s">
        <v>10</v>
      </c>
      <c r="D13" s="121">
        <f t="shared" si="2"/>
        <v>29.297684474871993</v>
      </c>
      <c r="E13" s="123">
        <f t="shared" si="0"/>
        <v>29.297684474871993</v>
      </c>
      <c r="F13" s="122">
        <v>29.297684474871993</v>
      </c>
      <c r="G13" s="123">
        <v>222.93561619404315</v>
      </c>
      <c r="H13" s="124">
        <f t="shared" si="3"/>
        <v>6531.4973414642391</v>
      </c>
      <c r="I13" s="124">
        <f t="shared" ca="1" si="4"/>
        <v>10524.85655537505</v>
      </c>
      <c r="J13" s="124">
        <f t="shared" ca="1" si="5"/>
        <v>359.2385113028983</v>
      </c>
      <c r="K13" s="124">
        <v>6459.4098617585605</v>
      </c>
      <c r="L13" s="125">
        <f t="shared" ca="1" si="6"/>
        <v>2.2613547883921985E-2</v>
      </c>
      <c r="M13" s="125">
        <f t="shared" si="7"/>
        <v>1.401132686507508E-2</v>
      </c>
      <c r="N13" s="121">
        <v>220.47509820438745</v>
      </c>
      <c r="O13" s="121">
        <f t="shared" si="1"/>
        <v>4.5356596193596799E-3</v>
      </c>
      <c r="P13" s="121">
        <v>0.88711957295373645</v>
      </c>
      <c r="Q13" s="121">
        <f t="shared" ca="1" si="11"/>
        <v>9748.7654598090066</v>
      </c>
      <c r="R13" s="121">
        <f t="shared" si="9"/>
        <v>729.14094366215249</v>
      </c>
      <c r="S13" s="121">
        <f t="shared" si="10"/>
        <v>6459.4098617585605</v>
      </c>
    </row>
    <row r="14" spans="1:19" x14ac:dyDescent="0.2">
      <c r="A14" s="143"/>
      <c r="B14" s="120">
        <v>19212</v>
      </c>
      <c r="C14" s="88" t="s">
        <v>11</v>
      </c>
      <c r="D14" s="121">
        <f t="shared" si="2"/>
        <v>12.898249773218538</v>
      </c>
      <c r="E14" s="123">
        <f t="shared" si="0"/>
        <v>12.898249773218538</v>
      </c>
      <c r="F14" s="122">
        <v>12.898249773218538</v>
      </c>
      <c r="G14" s="123">
        <v>310.55707728523424</v>
      </c>
      <c r="H14" s="124">
        <f t="shared" si="3"/>
        <v>4005.6427516656845</v>
      </c>
      <c r="I14" s="124">
        <f t="shared" ca="1" si="4"/>
        <v>6454.6937967378744</v>
      </c>
      <c r="J14" s="124">
        <f t="shared" ca="1" si="5"/>
        <v>500.4317570388634</v>
      </c>
      <c r="K14" s="124">
        <v>4368.5458649040784</v>
      </c>
      <c r="L14" s="125">
        <f t="shared" ca="1" si="6"/>
        <v>1.5293706888607754E-2</v>
      </c>
      <c r="M14" s="125">
        <f t="shared" si="7"/>
        <v>6.168459958497627E-3</v>
      </c>
      <c r="N14" s="121">
        <v>338.69291893965101</v>
      </c>
      <c r="O14" s="121">
        <f t="shared" si="1"/>
        <v>2.9525270357901459E-3</v>
      </c>
      <c r="P14" s="121">
        <v>0.88938051509394145</v>
      </c>
      <c r="Q14" s="121">
        <f t="shared" ca="1" si="11"/>
        <v>6124.9261877698918</v>
      </c>
      <c r="R14" s="121">
        <f t="shared" si="9"/>
        <v>483.24629336418121</v>
      </c>
      <c r="S14" s="121">
        <f t="shared" si="10"/>
        <v>4368.5458649040784</v>
      </c>
    </row>
    <row r="15" spans="1:19" x14ac:dyDescent="0.2">
      <c r="A15" s="143"/>
      <c r="B15" s="120">
        <v>19300</v>
      </c>
      <c r="C15" s="88" t="s">
        <v>44</v>
      </c>
      <c r="D15" s="121">
        <f t="shared" si="2"/>
        <v>2.2535344284010788</v>
      </c>
      <c r="E15" s="123">
        <f t="shared" si="0"/>
        <v>2.2535344284010788</v>
      </c>
      <c r="F15" s="122">
        <v>2.2535344284010788</v>
      </c>
      <c r="G15" s="123">
        <v>427.84409361228768</v>
      </c>
      <c r="H15" s="124">
        <f t="shared" si="3"/>
        <v>964.16139494334436</v>
      </c>
      <c r="I15" s="124">
        <f t="shared" ca="1" si="4"/>
        <v>1553.6499285681552</v>
      </c>
      <c r="J15" s="124">
        <f t="shared" ca="1" si="5"/>
        <v>689.4280863818426</v>
      </c>
      <c r="K15" s="124">
        <v>4266.8690774012584</v>
      </c>
      <c r="L15" s="125">
        <f t="shared" ca="1" si="6"/>
        <v>1.4937749773006421E-2</v>
      </c>
      <c r="M15" s="125">
        <f t="shared" si="7"/>
        <v>1.0777304774754082E-3</v>
      </c>
      <c r="N15" s="121">
        <v>1893.4119770376328</v>
      </c>
      <c r="O15" s="121">
        <f t="shared" si="1"/>
        <v>5.2814707635079263E-4</v>
      </c>
      <c r="P15" s="121">
        <v>0.97857163461538454</v>
      </c>
      <c r="Q15" s="121">
        <f t="shared" ca="1" si="11"/>
        <v>1476.0297453898756</v>
      </c>
      <c r="R15" s="121">
        <f t="shared" si="9"/>
        <v>91.432029638871214</v>
      </c>
      <c r="S15" s="121">
        <f t="shared" si="10"/>
        <v>4266.8690774012584</v>
      </c>
    </row>
    <row r="16" spans="1:19" x14ac:dyDescent="0.2">
      <c r="A16" s="143"/>
      <c r="B16" s="120">
        <v>19364</v>
      </c>
      <c r="C16" s="88" t="s">
        <v>45</v>
      </c>
      <c r="D16" s="121">
        <f t="shared" si="2"/>
        <v>24.188340299966669</v>
      </c>
      <c r="E16" s="123">
        <f t="shared" si="0"/>
        <v>24.188340299966669</v>
      </c>
      <c r="F16" s="122">
        <v>24.188340299966669</v>
      </c>
      <c r="G16" s="123">
        <v>1021.7113665389527</v>
      </c>
      <c r="H16" s="124">
        <f t="shared" si="3"/>
        <v>24713.502222188166</v>
      </c>
      <c r="I16" s="124">
        <f t="shared" ca="1" si="4"/>
        <v>39823.344062046592</v>
      </c>
      <c r="J16" s="124">
        <f t="shared" ca="1" si="5"/>
        <v>1646.3859681228921</v>
      </c>
      <c r="K16" s="124">
        <v>3670.2275178728205</v>
      </c>
      <c r="L16" s="125">
        <f t="shared" ca="1" si="6"/>
        <v>1.2848985820155007E-2</v>
      </c>
      <c r="M16" s="125">
        <f t="shared" si="7"/>
        <v>1.1567833715909455E-2</v>
      </c>
      <c r="N16" s="121">
        <v>151.73540112125337</v>
      </c>
      <c r="O16" s="121">
        <f t="shared" si="1"/>
        <v>6.5904198533135285E-3</v>
      </c>
      <c r="P16" s="121">
        <v>0.75041156267887799</v>
      </c>
      <c r="Q16" s="121">
        <f t="shared" ca="1" si="11"/>
        <v>38099.938470398491</v>
      </c>
      <c r="R16" s="121">
        <f t="shared" si="9"/>
        <v>916.0463507988577</v>
      </c>
      <c r="S16" s="121">
        <f t="shared" si="10"/>
        <v>3670.2275178728205</v>
      </c>
    </row>
    <row r="17" spans="1:19" x14ac:dyDescent="0.2">
      <c r="A17" s="143"/>
      <c r="B17" s="120">
        <v>19455</v>
      </c>
      <c r="C17" s="88" t="s">
        <v>12</v>
      </c>
      <c r="D17" s="121">
        <f t="shared" si="2"/>
        <v>10.989229864276783</v>
      </c>
      <c r="E17" s="123">
        <f t="shared" si="0"/>
        <v>10.989229864276783</v>
      </c>
      <c r="F17" s="122">
        <v>10.989229864276783</v>
      </c>
      <c r="G17" s="123">
        <v>275.03960570322124</v>
      </c>
      <c r="H17" s="124">
        <f t="shared" si="3"/>
        <v>3022.4734488527502</v>
      </c>
      <c r="I17" s="124">
        <f t="shared" ca="1" si="4"/>
        <v>4870.4145203668504</v>
      </c>
      <c r="J17" s="124">
        <f t="shared" ca="1" si="5"/>
        <v>443.19889387329505</v>
      </c>
      <c r="K17" s="124">
        <v>4254.4623976172743</v>
      </c>
      <c r="L17" s="125">
        <f t="shared" ca="1" si="6"/>
        <v>1.4894315612087698E-2</v>
      </c>
      <c r="M17" s="125">
        <f t="shared" si="7"/>
        <v>5.2554901311701501E-3</v>
      </c>
      <c r="N17" s="121">
        <v>387.1483670978127</v>
      </c>
      <c r="O17" s="121">
        <f t="shared" si="1"/>
        <v>2.5829890682384071E-3</v>
      </c>
      <c r="P17" s="121">
        <v>0.92237318982387495</v>
      </c>
      <c r="Q17" s="121">
        <f t="shared" ca="1" si="11"/>
        <v>4627.7613974629739</v>
      </c>
      <c r="R17" s="121">
        <f t="shared" si="9"/>
        <v>330.260344941298</v>
      </c>
      <c r="S17" s="121">
        <f t="shared" si="10"/>
        <v>4254.4623976172743</v>
      </c>
    </row>
    <row r="18" spans="1:19" x14ac:dyDescent="0.2">
      <c r="A18" s="143"/>
      <c r="B18" s="120">
        <v>19513</v>
      </c>
      <c r="C18" s="88" t="s">
        <v>13</v>
      </c>
      <c r="D18" s="121">
        <f t="shared" si="2"/>
        <v>1.5305032156843346</v>
      </c>
      <c r="E18" s="123">
        <f t="shared" si="0"/>
        <v>1.5305032156843346</v>
      </c>
      <c r="F18" s="122">
        <v>1.5305032156843346</v>
      </c>
      <c r="G18" s="123">
        <v>2180.3593232164662</v>
      </c>
      <c r="H18" s="124">
        <f t="shared" si="3"/>
        <v>3337.0469555301211</v>
      </c>
      <c r="I18" s="124">
        <f t="shared" ca="1" si="4"/>
        <v>5377.318352797779</v>
      </c>
      <c r="J18" s="124">
        <f t="shared" ca="1" si="5"/>
        <v>3513.4315940613142</v>
      </c>
      <c r="K18" s="124">
        <v>1720.5532148745192</v>
      </c>
      <c r="L18" s="125">
        <f t="shared" ca="1" si="6"/>
        <v>6.0234314502545412E-3</v>
      </c>
      <c r="M18" s="125">
        <f t="shared" si="7"/>
        <v>7.3194797498055218E-4</v>
      </c>
      <c r="N18" s="121">
        <v>1124.1748447455614</v>
      </c>
      <c r="O18" s="121">
        <f t="shared" si="1"/>
        <v>8.8954134196654589E-4</v>
      </c>
      <c r="P18" s="121">
        <v>0.90959444444444448</v>
      </c>
      <c r="Q18" s="121">
        <f t="shared" ca="1" si="11"/>
        <v>5265.6600144611411</v>
      </c>
      <c r="R18" s="121">
        <f t="shared" si="9"/>
        <v>155.54756925362798</v>
      </c>
      <c r="S18" s="121">
        <f t="shared" si="10"/>
        <v>1720.5532148745192</v>
      </c>
    </row>
    <row r="19" spans="1:19" x14ac:dyDescent="0.2">
      <c r="A19" s="143"/>
      <c r="B19" s="120">
        <v>19573</v>
      </c>
      <c r="C19" s="88" t="s">
        <v>14</v>
      </c>
      <c r="D19" s="121">
        <f t="shared" si="2"/>
        <v>5.5397494683877575</v>
      </c>
      <c r="E19" s="123">
        <f t="shared" si="0"/>
        <v>5.5397494683877575</v>
      </c>
      <c r="F19" s="122">
        <v>5.5397494683877575</v>
      </c>
      <c r="G19" s="123">
        <v>377.07390648567122</v>
      </c>
      <c r="H19" s="124">
        <f t="shared" si="3"/>
        <v>2088.8949729968922</v>
      </c>
      <c r="I19" s="124">
        <f t="shared" ca="1" si="4"/>
        <v>3366.0459157605101</v>
      </c>
      <c r="J19" s="124">
        <f t="shared" ca="1" si="5"/>
        <v>607.61699332589785</v>
      </c>
      <c r="K19" s="124">
        <v>2143.6231071228267</v>
      </c>
      <c r="L19" s="125">
        <f t="shared" ca="1" si="6"/>
        <v>7.5045437300686278E-3</v>
      </c>
      <c r="M19" s="125">
        <f t="shared" si="7"/>
        <v>2.6493302096545946E-3</v>
      </c>
      <c r="N19" s="121">
        <v>386.95307781611444</v>
      </c>
      <c r="O19" s="121">
        <f t="shared" si="1"/>
        <v>2.584292663192652E-3</v>
      </c>
      <c r="P19" s="121">
        <v>0.99704999999999999</v>
      </c>
      <c r="Q19" s="121">
        <f t="shared" ca="1" si="11"/>
        <v>3279.4068101409025</v>
      </c>
      <c r="R19" s="121">
        <f t="shared" si="9"/>
        <v>6.3236881660123565</v>
      </c>
      <c r="S19" s="121">
        <f t="shared" si="10"/>
        <v>2143.6231071228267</v>
      </c>
    </row>
    <row r="20" spans="1:19" x14ac:dyDescent="0.2">
      <c r="A20" s="143"/>
      <c r="B20" s="120">
        <v>19698</v>
      </c>
      <c r="C20" s="88" t="s">
        <v>47</v>
      </c>
      <c r="D20" s="121">
        <f t="shared" si="2"/>
        <v>57.334210686547998</v>
      </c>
      <c r="E20" s="123">
        <f t="shared" si="0"/>
        <v>57.334210686547998</v>
      </c>
      <c r="F20" s="122">
        <v>57.334210686547998</v>
      </c>
      <c r="G20" s="123">
        <v>19.826470796996368</v>
      </c>
      <c r="H20" s="124">
        <f t="shared" si="3"/>
        <v>1136.735053845681</v>
      </c>
      <c r="I20" s="124">
        <f t="shared" ca="1" si="4"/>
        <v>1831.7351684797945</v>
      </c>
      <c r="J20" s="124">
        <f t="shared" ca="1" si="5"/>
        <v>31.948380322074691</v>
      </c>
      <c r="K20" s="124">
        <v>16789.556521589719</v>
      </c>
      <c r="L20" s="125">
        <f t="shared" ca="1" si="6"/>
        <v>5.8778038315627029E-2</v>
      </c>
      <c r="M20" s="125">
        <f t="shared" si="7"/>
        <v>2.7419517305857483E-2</v>
      </c>
      <c r="N20" s="121">
        <v>292.83662093788894</v>
      </c>
      <c r="O20" s="121">
        <f t="shared" si="1"/>
        <v>3.4148734430728914E-3</v>
      </c>
      <c r="P20" s="121">
        <v>0.92563371517522153</v>
      </c>
      <c r="Q20" s="121">
        <f t="shared" ca="1" si="11"/>
        <v>1517.6897498505252</v>
      </c>
      <c r="R20" s="121">
        <f t="shared" si="9"/>
        <v>1248.576942366258</v>
      </c>
      <c r="S20" s="121">
        <f t="shared" si="10"/>
        <v>16789.556521589719</v>
      </c>
    </row>
    <row r="21" spans="1:19" x14ac:dyDescent="0.2">
      <c r="A21" s="143"/>
      <c r="B21" s="120">
        <v>19780</v>
      </c>
      <c r="C21" s="88" t="s">
        <v>48</v>
      </c>
      <c r="D21" s="121">
        <f t="shared" si="2"/>
        <v>35.73459899381939</v>
      </c>
      <c r="E21" s="123">
        <f t="shared" si="0"/>
        <v>35.73459899381939</v>
      </c>
      <c r="F21" s="122">
        <v>35.73459899381939</v>
      </c>
      <c r="G21" s="123">
        <v>170.75919538267135</v>
      </c>
      <c r="H21" s="124">
        <f t="shared" si="3"/>
        <v>6102.0113715070165</v>
      </c>
      <c r="I21" s="124">
        <f t="shared" ca="1" si="4"/>
        <v>9832.7827490137479</v>
      </c>
      <c r="J21" s="124">
        <f t="shared" ca="1" si="5"/>
        <v>275.16141291285828</v>
      </c>
      <c r="K21" s="124">
        <v>7633.3061432377372</v>
      </c>
      <c r="L21" s="125">
        <f t="shared" ca="1" si="6"/>
        <v>2.6723205010519033E-2</v>
      </c>
      <c r="M21" s="125">
        <f t="shared" si="7"/>
        <v>1.7089717357158963E-2</v>
      </c>
      <c r="N21" s="121">
        <v>213.61107604867721</v>
      </c>
      <c r="O21" s="121">
        <f t="shared" si="1"/>
        <v>4.681405189738955E-3</v>
      </c>
      <c r="P21" s="121">
        <v>0.88518596185159348</v>
      </c>
      <c r="Q21" s="121">
        <f t="shared" ca="1" si="11"/>
        <v>8987.2868233794707</v>
      </c>
      <c r="R21" s="121">
        <f t="shared" si="9"/>
        <v>876.41070272816341</v>
      </c>
      <c r="S21" s="121">
        <f t="shared" si="10"/>
        <v>7633.3061432377372</v>
      </c>
    </row>
    <row r="22" spans="1:19" x14ac:dyDescent="0.2">
      <c r="A22" s="143"/>
      <c r="B22" s="120">
        <v>19821</v>
      </c>
      <c r="C22" s="88" t="s">
        <v>15</v>
      </c>
      <c r="D22" s="121">
        <f t="shared" si="2"/>
        <v>17.266273095345397</v>
      </c>
      <c r="E22" s="123">
        <f t="shared" si="0"/>
        <v>17.266273095345397</v>
      </c>
      <c r="F22" s="122">
        <v>17.266273095345397</v>
      </c>
      <c r="G22" s="123">
        <v>162.55933415696728</v>
      </c>
      <c r="H22" s="124">
        <f t="shared" si="3"/>
        <v>2806.7938577517061</v>
      </c>
      <c r="I22" s="124">
        <f t="shared" ca="1" si="4"/>
        <v>4522.8683698310915</v>
      </c>
      <c r="J22" s="124">
        <f t="shared" ca="1" si="5"/>
        <v>261.94815435013339</v>
      </c>
      <c r="K22" s="124">
        <v>8461.7339902980748</v>
      </c>
      <c r="L22" s="125">
        <f t="shared" ca="1" si="6"/>
        <v>2.9623422397061082E-2</v>
      </c>
      <c r="M22" s="125">
        <f t="shared" si="7"/>
        <v>8.257423766305786E-3</v>
      </c>
      <c r="N22" s="121">
        <v>490.07298468939251</v>
      </c>
      <c r="O22" s="121">
        <f t="shared" si="1"/>
        <v>2.0405123955849116E-3</v>
      </c>
      <c r="P22" s="121">
        <v>0.91460095693779897</v>
      </c>
      <c r="Q22" s="121">
        <f t="shared" ca="1" si="11"/>
        <v>4095.7368239500188</v>
      </c>
      <c r="R22" s="121">
        <f t="shared" si="9"/>
        <v>722.62398541835546</v>
      </c>
      <c r="S22" s="121">
        <f t="shared" si="10"/>
        <v>8461.7339902980748</v>
      </c>
    </row>
    <row r="23" spans="1:19" x14ac:dyDescent="0.2">
      <c r="A23" s="144"/>
      <c r="B23" s="120">
        <v>19845</v>
      </c>
      <c r="C23" s="88" t="s">
        <v>51</v>
      </c>
      <c r="D23" s="121">
        <f t="shared" si="2"/>
        <v>4.0403118052446647</v>
      </c>
      <c r="E23" s="123">
        <f t="shared" si="0"/>
        <v>4.0403118052446647</v>
      </c>
      <c r="F23" s="122">
        <v>4.0403118052446647</v>
      </c>
      <c r="G23" s="123">
        <v>794.10456768947336</v>
      </c>
      <c r="H23" s="124">
        <f t="shared" si="3"/>
        <v>3208.43005943449</v>
      </c>
      <c r="I23" s="124">
        <f t="shared" ca="1" si="4"/>
        <v>5170.0650521785628</v>
      </c>
      <c r="J23" s="124">
        <f t="shared" ca="1" si="5"/>
        <v>1279.6203118450867</v>
      </c>
      <c r="K23" s="124">
        <v>1956.4145658263305</v>
      </c>
      <c r="L23" s="125">
        <f t="shared" ca="1" si="6"/>
        <v>6.8491511472336761E-3</v>
      </c>
      <c r="M23" s="125">
        <f t="shared" si="7"/>
        <v>1.9322390268984527E-3</v>
      </c>
      <c r="N23" s="121">
        <v>484.22365899749121</v>
      </c>
      <c r="O23" s="121">
        <f t="shared" si="1"/>
        <v>2.0651613803223546E-3</v>
      </c>
      <c r="P23" s="121">
        <v>0.98649999999999993</v>
      </c>
      <c r="Q23" s="121">
        <f t="shared" ca="1" si="11"/>
        <v>5048.3400681570929</v>
      </c>
      <c r="R23" s="121">
        <f t="shared" si="9"/>
        <v>26.411596638655595</v>
      </c>
      <c r="S23" s="121">
        <f t="shared" si="10"/>
        <v>1956.4145658263305</v>
      </c>
    </row>
    <row r="24" spans="1:19" x14ac:dyDescent="0.2">
      <c r="A24" s="147" t="s">
        <v>59</v>
      </c>
      <c r="B24" s="120">
        <v>19355</v>
      </c>
      <c r="C24" s="88" t="s">
        <v>18</v>
      </c>
      <c r="D24" s="121">
        <f t="shared" si="2"/>
        <v>34.9559700805438</v>
      </c>
      <c r="E24" s="123">
        <f t="shared" si="0"/>
        <v>34.9559700805438</v>
      </c>
      <c r="F24" s="122">
        <v>34.9559700805438</v>
      </c>
      <c r="G24" s="123">
        <v>10.129427750134571</v>
      </c>
      <c r="H24" s="124">
        <f t="shared" si="3"/>
        <v>354.08397336673414</v>
      </c>
      <c r="I24" s="124">
        <f t="shared" ca="1" si="4"/>
        <v>570.57100897581699</v>
      </c>
      <c r="J24" s="124">
        <f t="shared" ca="1" si="5"/>
        <v>16.322562574036304</v>
      </c>
      <c r="K24" s="124">
        <v>7559.5400964781829</v>
      </c>
      <c r="L24" s="125">
        <f t="shared" ca="1" si="6"/>
        <v>2.646495974256035E-2</v>
      </c>
      <c r="M24" s="125">
        <f t="shared" si="7"/>
        <v>1.6717345806094595E-2</v>
      </c>
      <c r="N24" s="121">
        <v>216.25891311440844</v>
      </c>
      <c r="O24" s="121">
        <f t="shared" si="1"/>
        <v>4.6240868669813638E-3</v>
      </c>
      <c r="P24" s="121">
        <v>0.81625586854460108</v>
      </c>
      <c r="Q24" s="121">
        <f ca="1">+I24/(1+(K24/SUM($K$24:$K$26)))</f>
        <v>422.4571891111591</v>
      </c>
      <c r="R24" s="121">
        <f t="shared" si="9"/>
        <v>1389.0211292296462</v>
      </c>
      <c r="S24" s="121">
        <f t="shared" si="10"/>
        <v>7559.5400964781829</v>
      </c>
    </row>
    <row r="25" spans="1:19" x14ac:dyDescent="0.2">
      <c r="A25" s="143"/>
      <c r="B25" s="120">
        <v>19517</v>
      </c>
      <c r="C25" s="88" t="s">
        <v>19</v>
      </c>
      <c r="D25" s="121">
        <f t="shared" si="2"/>
        <v>86.623641631540437</v>
      </c>
      <c r="E25" s="123">
        <f t="shared" si="0"/>
        <v>86.623641631540437</v>
      </c>
      <c r="F25" s="122">
        <v>86.623641631540437</v>
      </c>
      <c r="G25" s="123">
        <v>8.6918277696943793</v>
      </c>
      <c r="H25" s="124">
        <f t="shared" si="3"/>
        <v>752.91777384507725</v>
      </c>
      <c r="I25" s="124">
        <f t="shared" ca="1" si="4"/>
        <v>1213.251901276172</v>
      </c>
      <c r="J25" s="124">
        <f t="shared" ca="1" si="5"/>
        <v>14.006013582721698</v>
      </c>
      <c r="K25" s="124">
        <v>8555.1756570494108</v>
      </c>
      <c r="L25" s="125">
        <f t="shared" ca="1" si="6"/>
        <v>2.9950549433533039E-2</v>
      </c>
      <c r="M25" s="125">
        <f t="shared" si="7"/>
        <v>4.142689700217142E-2</v>
      </c>
      <c r="N25" s="121">
        <v>98.762595244372591</v>
      </c>
      <c r="O25" s="121">
        <f t="shared" si="1"/>
        <v>1.0125290830254678E-2</v>
      </c>
      <c r="P25" s="121">
        <v>0.7025604851330205</v>
      </c>
      <c r="Q25" s="121">
        <f t="shared" ref="Q25:Q26" ca="1" si="12">+I25/(1+(K25/SUM($K$24:$K$26)))</f>
        <v>868.60819270433478</v>
      </c>
      <c r="R25" s="121">
        <f t="shared" si="9"/>
        <v>2544.6472970345694</v>
      </c>
      <c r="S25" s="121">
        <f t="shared" si="10"/>
        <v>8555.1756570494108</v>
      </c>
    </row>
    <row r="26" spans="1:19" x14ac:dyDescent="0.2">
      <c r="A26" s="144"/>
      <c r="B26" s="120">
        <v>19824</v>
      </c>
      <c r="C26" s="88" t="s">
        <v>50</v>
      </c>
      <c r="D26" s="121">
        <f t="shared" si="2"/>
        <v>28.761458105190759</v>
      </c>
      <c r="E26" s="123">
        <f t="shared" si="0"/>
        <v>28.761458105190759</v>
      </c>
      <c r="F26" s="122">
        <v>28.761458105190759</v>
      </c>
      <c r="G26" s="123">
        <v>19.597249094950048</v>
      </c>
      <c r="H26" s="124">
        <f t="shared" si="3"/>
        <v>563.64545882139328</v>
      </c>
      <c r="I26" s="124">
        <f t="shared" ca="1" si="4"/>
        <v>908.25844244373718</v>
      </c>
      <c r="J26" s="124">
        <f t="shared" ca="1" si="5"/>
        <v>31.579012410355446</v>
      </c>
      <c r="K26" s="124">
        <v>5446.9593355996385</v>
      </c>
      <c r="L26" s="125">
        <f t="shared" ca="1" si="6"/>
        <v>1.9069091200821269E-2</v>
      </c>
      <c r="M26" s="125">
        <f t="shared" si="7"/>
        <v>1.3754881925007536E-2</v>
      </c>
      <c r="N26" s="121">
        <v>189.38397753264783</v>
      </c>
      <c r="O26" s="121">
        <f t="shared" si="1"/>
        <v>5.2802777353623299E-3</v>
      </c>
      <c r="P26" s="121">
        <v>0.83451281651733544</v>
      </c>
      <c r="Q26" s="121">
        <f t="shared" ca="1" si="12"/>
        <v>725.08565686681027</v>
      </c>
      <c r="R26" s="121">
        <f t="shared" si="9"/>
        <v>901.40195899298999</v>
      </c>
      <c r="S26" s="121">
        <f t="shared" si="10"/>
        <v>5446.9593355996385</v>
      </c>
    </row>
    <row r="27" spans="1:19" x14ac:dyDescent="0.2">
      <c r="A27" s="147" t="s">
        <v>58</v>
      </c>
      <c r="B27" s="120">
        <v>19318</v>
      </c>
      <c r="C27" s="88" t="s">
        <v>23</v>
      </c>
      <c r="D27" s="121">
        <f t="shared" si="2"/>
        <v>311.36528329982127</v>
      </c>
      <c r="E27" s="123">
        <f t="shared" si="0"/>
        <v>311.36528329982127</v>
      </c>
      <c r="F27" s="122">
        <v>311.36528329982127</v>
      </c>
      <c r="G27" s="123">
        <v>22.978838787360718</v>
      </c>
      <c r="H27" s="124">
        <f t="shared" si="3"/>
        <v>7154.8126489274919</v>
      </c>
      <c r="I27" s="124">
        <f t="shared" ca="1" si="4"/>
        <v>11529.267007810378</v>
      </c>
      <c r="J27" s="124">
        <f t="shared" ca="1" si="5"/>
        <v>37.028106941224287</v>
      </c>
      <c r="K27" s="124">
        <v>7066.6364231814387</v>
      </c>
      <c r="L27" s="125">
        <f t="shared" ca="1" si="6"/>
        <v>2.4739368542000983E-2</v>
      </c>
      <c r="M27" s="125">
        <f t="shared" si="7"/>
        <v>0.14890735691048362</v>
      </c>
      <c r="N27" s="121">
        <v>22.695646567561617</v>
      </c>
      <c r="O27" s="121">
        <f t="shared" si="1"/>
        <v>4.4061313566156682E-2</v>
      </c>
      <c r="P27" s="121">
        <v>0.51329999999999998</v>
      </c>
      <c r="Q27" s="121">
        <f ca="1">+I27/(1+(K27/SUM($K$27:$K$29)))</f>
        <v>8430.6930528432367</v>
      </c>
      <c r="R27" s="121">
        <f t="shared" si="9"/>
        <v>3439.3319471624063</v>
      </c>
      <c r="S27" s="121">
        <f t="shared" si="10"/>
        <v>7066.6364231814396</v>
      </c>
    </row>
    <row r="28" spans="1:19" x14ac:dyDescent="0.2">
      <c r="A28" s="143"/>
      <c r="B28" s="120">
        <v>19418</v>
      </c>
      <c r="C28" s="88" t="s">
        <v>46</v>
      </c>
      <c r="D28" s="121">
        <f t="shared" si="2"/>
        <v>164.54250531334023</v>
      </c>
      <c r="E28" s="123">
        <f t="shared" si="0"/>
        <v>164.54250531334023</v>
      </c>
      <c r="F28" s="122">
        <v>164.54250531334023</v>
      </c>
      <c r="G28" s="123">
        <v>16.959178578793701</v>
      </c>
      <c r="H28" s="124">
        <f t="shared" si="3"/>
        <v>2790.5057314110481</v>
      </c>
      <c r="I28" s="124">
        <f t="shared" ca="1" si="4"/>
        <v>4496.621678708223</v>
      </c>
      <c r="J28" s="124">
        <f t="shared" ca="1" si="5"/>
        <v>27.328024878102188</v>
      </c>
      <c r="K28" s="124">
        <v>5054.4074200538762</v>
      </c>
      <c r="L28" s="125">
        <f t="shared" ca="1" si="6"/>
        <v>1.769481836025211E-2</v>
      </c>
      <c r="M28" s="125">
        <f t="shared" si="7"/>
        <v>7.8690820331583089E-2</v>
      </c>
      <c r="N28" s="121">
        <v>30.717943733922787</v>
      </c>
      <c r="O28" s="121">
        <f t="shared" si="1"/>
        <v>3.2554262377128738E-2</v>
      </c>
      <c r="P28" s="121">
        <v>0.63939999999999997</v>
      </c>
      <c r="Q28" s="121">
        <f t="shared" ref="Q28:Q29" ca="1" si="13">+I28/(1+(K28/SUM($K$27:$K$29)))</f>
        <v>3560.6113196662373</v>
      </c>
      <c r="R28" s="121">
        <f t="shared" si="9"/>
        <v>1822.619315671428</v>
      </c>
      <c r="S28" s="121">
        <f t="shared" si="10"/>
        <v>5054.4074200538762</v>
      </c>
    </row>
    <row r="29" spans="1:19" x14ac:dyDescent="0.2">
      <c r="A29" s="144"/>
      <c r="B29" s="120">
        <v>19809</v>
      </c>
      <c r="C29" s="88" t="s">
        <v>22</v>
      </c>
      <c r="D29" s="121">
        <f t="shared" si="2"/>
        <v>230.79798550292227</v>
      </c>
      <c r="E29" s="123">
        <f t="shared" si="0"/>
        <v>230.79798550292227</v>
      </c>
      <c r="F29" s="122">
        <v>230.79798550292227</v>
      </c>
      <c r="G29" s="123">
        <v>10.209815798587289</v>
      </c>
      <c r="H29" s="124">
        <f t="shared" si="3"/>
        <v>2356.4049186698562</v>
      </c>
      <c r="I29" s="124">
        <f t="shared" ca="1" si="4"/>
        <v>3797.1115134558977</v>
      </c>
      <c r="J29" s="124">
        <f t="shared" ca="1" si="5"/>
        <v>16.452099896720373</v>
      </c>
      <c r="K29" s="124">
        <v>7106.0727161035065</v>
      </c>
      <c r="L29" s="125">
        <f t="shared" ca="1" si="6"/>
        <v>2.4877429838225149E-2</v>
      </c>
      <c r="M29" s="125">
        <f t="shared" si="7"/>
        <v>0.11037684624721295</v>
      </c>
      <c r="N29" s="121">
        <v>30.789145323859564</v>
      </c>
      <c r="O29" s="121">
        <f t="shared" si="1"/>
        <v>3.2478978857041083E-2</v>
      </c>
      <c r="P29" s="121">
        <v>0.64155000000000006</v>
      </c>
      <c r="Q29" s="121">
        <f t="shared" ca="1" si="13"/>
        <v>2772.4520905680406</v>
      </c>
      <c r="R29" s="121">
        <f t="shared" si="9"/>
        <v>2547.1717650873015</v>
      </c>
      <c r="S29" s="121">
        <f t="shared" si="10"/>
        <v>7106.0727161035065</v>
      </c>
    </row>
    <row r="30" spans="1:19" x14ac:dyDescent="0.2">
      <c r="A30" s="147" t="s">
        <v>56</v>
      </c>
      <c r="B30" s="120">
        <v>19050</v>
      </c>
      <c r="C30" s="88" t="s">
        <v>25</v>
      </c>
      <c r="D30" s="121">
        <f t="shared" si="2"/>
        <v>46.352382949415841</v>
      </c>
      <c r="E30" s="123">
        <f t="shared" si="0"/>
        <v>46.352382949415841</v>
      </c>
      <c r="F30" s="122">
        <v>46.352382949415841</v>
      </c>
      <c r="G30" s="123">
        <v>44.83010287612008</v>
      </c>
      <c r="H30" s="124">
        <f t="shared" si="3"/>
        <v>2077.9820961756263</v>
      </c>
      <c r="I30" s="124">
        <f t="shared" ca="1" si="4"/>
        <v>3348.4609031446198</v>
      </c>
      <c r="J30" s="124">
        <f t="shared" ca="1" si="5"/>
        <v>72.239239712848871</v>
      </c>
      <c r="K30" s="124">
        <v>8864.2571627266225</v>
      </c>
      <c r="L30" s="125">
        <f t="shared" ca="1" si="6"/>
        <v>3.1032603301959259E-2</v>
      </c>
      <c r="M30" s="125">
        <f t="shared" si="7"/>
        <v>2.216756716853938E-2</v>
      </c>
      <c r="N30" s="121">
        <v>191.23627737542964</v>
      </c>
      <c r="O30" s="121">
        <f t="shared" si="1"/>
        <v>5.2291333722044196E-3</v>
      </c>
      <c r="P30" s="121">
        <v>0.79337639722134501</v>
      </c>
      <c r="Q30" s="121">
        <f ca="1">+I30/(1+(K30/SUM($K$30:$K$36)))</f>
        <v>2794.8251016698678</v>
      </c>
      <c r="R30" s="121">
        <f t="shared" si="9"/>
        <v>1831.564750919073</v>
      </c>
      <c r="S30" s="121">
        <f t="shared" si="10"/>
        <v>8864.2571627266225</v>
      </c>
    </row>
    <row r="31" spans="1:19" x14ac:dyDescent="0.2">
      <c r="A31" s="143"/>
      <c r="B31" s="120">
        <v>19075</v>
      </c>
      <c r="C31" s="88" t="s">
        <v>26</v>
      </c>
      <c r="D31" s="121">
        <f t="shared" si="2"/>
        <v>17.250373128371027</v>
      </c>
      <c r="E31" s="123">
        <f t="shared" si="0"/>
        <v>17.250373128371027</v>
      </c>
      <c r="F31" s="122">
        <v>17.250373128371027</v>
      </c>
      <c r="G31" s="123">
        <v>51.708126242287733</v>
      </c>
      <c r="H31" s="124">
        <f t="shared" si="3"/>
        <v>891.98447144837701</v>
      </c>
      <c r="I31" s="124">
        <f t="shared" ca="1" si="4"/>
        <v>1437.34401482763</v>
      </c>
      <c r="J31" s="124">
        <f t="shared" ca="1" si="5"/>
        <v>83.322488396710995</v>
      </c>
      <c r="K31" s="124">
        <v>6283.4747056951956</v>
      </c>
      <c r="L31" s="125">
        <f t="shared" ca="1" si="6"/>
        <v>2.1997621946220139E-2</v>
      </c>
      <c r="M31" s="125">
        <f t="shared" si="7"/>
        <v>8.2498197648833219E-3</v>
      </c>
      <c r="N31" s="121">
        <v>364.25152423868474</v>
      </c>
      <c r="O31" s="121">
        <f t="shared" si="1"/>
        <v>2.7453557046606221E-3</v>
      </c>
      <c r="P31" s="121">
        <v>0.92189857835574152</v>
      </c>
      <c r="Q31" s="121">
        <f t="shared" ref="Q31:Q36" ca="1" si="14">+I31/(1+(K31/SUM($K$30:$K$36)))</f>
        <v>1260.3644223096185</v>
      </c>
      <c r="R31" s="121">
        <f t="shared" si="9"/>
        <v>490.74830738053345</v>
      </c>
      <c r="S31" s="121">
        <f t="shared" si="10"/>
        <v>6283.4747056951956</v>
      </c>
    </row>
    <row r="32" spans="1:19" x14ac:dyDescent="0.2">
      <c r="A32" s="143"/>
      <c r="B32" s="120">
        <v>19100</v>
      </c>
      <c r="C32" s="88" t="s">
        <v>43</v>
      </c>
      <c r="D32" s="121">
        <f t="shared" si="2"/>
        <v>57.685574244364659</v>
      </c>
      <c r="E32" s="123">
        <f t="shared" si="0"/>
        <v>57.685574244364659</v>
      </c>
      <c r="F32" s="122">
        <v>57.685574244364659</v>
      </c>
      <c r="G32" s="123">
        <v>13.431461802400095</v>
      </c>
      <c r="H32" s="124">
        <f t="shared" si="3"/>
        <v>774.80158701269863</v>
      </c>
      <c r="I32" s="124">
        <f t="shared" ca="1" si="4"/>
        <v>1248.5154836421427</v>
      </c>
      <c r="J32" s="124">
        <f t="shared" ca="1" si="5"/>
        <v>21.64346112518956</v>
      </c>
      <c r="K32" s="124">
        <v>13232.094768075573</v>
      </c>
      <c r="L32" s="125">
        <f t="shared" ca="1" si="6"/>
        <v>4.6323830666631094E-2</v>
      </c>
      <c r="M32" s="125">
        <f t="shared" si="7"/>
        <v>2.7587553440633506E-2</v>
      </c>
      <c r="N32" s="121">
        <v>229.38308132328638</v>
      </c>
      <c r="O32" s="121">
        <f t="shared" si="1"/>
        <v>4.3595194302522549E-3</v>
      </c>
      <c r="P32" s="121">
        <v>0.88590483201207992</v>
      </c>
      <c r="Q32" s="121">
        <f t="shared" ca="1" si="14"/>
        <v>963.58150492593984</v>
      </c>
      <c r="R32" s="121">
        <f t="shared" si="9"/>
        <v>1509.7180753956609</v>
      </c>
      <c r="S32" s="121">
        <f t="shared" si="10"/>
        <v>13232.094768075573</v>
      </c>
    </row>
    <row r="33" spans="1:19" x14ac:dyDescent="0.2">
      <c r="A33" s="143"/>
      <c r="B33" s="120">
        <v>19290</v>
      </c>
      <c r="C33" s="88" t="s">
        <v>29</v>
      </c>
      <c r="D33" s="121">
        <f t="shared" si="2"/>
        <v>1.4699443367466214</v>
      </c>
      <c r="E33" s="123">
        <f t="shared" si="0"/>
        <v>1.4699443367466214</v>
      </c>
      <c r="F33" s="122">
        <v>1.4699443367466214</v>
      </c>
      <c r="G33" s="123">
        <v>835.421888053467</v>
      </c>
      <c r="H33" s="124">
        <f t="shared" si="3"/>
        <v>1228.0236731383638</v>
      </c>
      <c r="I33" s="124">
        <f t="shared" ca="1" si="4"/>
        <v>1978.8376739182086</v>
      </c>
      <c r="J33" s="124">
        <f t="shared" ca="1" si="5"/>
        <v>1346.1990528824404</v>
      </c>
      <c r="K33" s="124">
        <v>1558.0882352941176</v>
      </c>
      <c r="L33" s="125">
        <f t="shared" ca="1" si="6"/>
        <v>5.4546628361196265E-3</v>
      </c>
      <c r="M33" s="125">
        <f t="shared" si="7"/>
        <v>7.0298629208351098E-4</v>
      </c>
      <c r="N33" s="121">
        <v>1059.9641063569672</v>
      </c>
      <c r="O33" s="121">
        <f t="shared" si="1"/>
        <v>9.4342817271137575E-4</v>
      </c>
      <c r="P33" s="121">
        <v>0.94617313432835792</v>
      </c>
      <c r="Q33" s="121">
        <f t="shared" ca="1" si="14"/>
        <v>1912.2544361775533</v>
      </c>
      <c r="R33" s="121">
        <f t="shared" si="9"/>
        <v>83.867006145742323</v>
      </c>
      <c r="S33" s="121">
        <f t="shared" si="10"/>
        <v>1558.0882352941176</v>
      </c>
    </row>
    <row r="34" spans="1:19" x14ac:dyDescent="0.2">
      <c r="A34" s="143"/>
      <c r="B34" s="120">
        <v>19450</v>
      </c>
      <c r="C34" s="88" t="s">
        <v>30</v>
      </c>
      <c r="D34" s="121">
        <f t="shared" si="2"/>
        <v>17.70027842479811</v>
      </c>
      <c r="E34" s="123">
        <f t="shared" si="0"/>
        <v>17.70027842479811</v>
      </c>
      <c r="F34" s="122">
        <v>17.70027842479811</v>
      </c>
      <c r="G34" s="123">
        <v>77.236777063766695</v>
      </c>
      <c r="H34" s="124">
        <f t="shared" si="3"/>
        <v>1367.1124586627311</v>
      </c>
      <c r="I34" s="124">
        <f t="shared" ca="1" si="4"/>
        <v>2202.9653799515563</v>
      </c>
      <c r="J34" s="124">
        <f t="shared" ca="1" si="5"/>
        <v>124.45936312872905</v>
      </c>
      <c r="K34" s="124">
        <v>5191.2234837167607</v>
      </c>
      <c r="L34" s="125">
        <f t="shared" ca="1" si="6"/>
        <v>1.8173793479209499E-2</v>
      </c>
      <c r="M34" s="125">
        <f t="shared" si="7"/>
        <v>8.464982508272649E-3</v>
      </c>
      <c r="N34" s="121">
        <v>293.2848489232718</v>
      </c>
      <c r="O34" s="121">
        <f t="shared" si="1"/>
        <v>3.4096544832481843E-3</v>
      </c>
      <c r="P34" s="121">
        <v>0.84560497315625893</v>
      </c>
      <c r="Q34" s="121">
        <f t="shared" ca="1" si="14"/>
        <v>1973.9649266710669</v>
      </c>
      <c r="R34" s="121">
        <f t="shared" si="9"/>
        <v>801.49908912030833</v>
      </c>
      <c r="S34" s="121">
        <f t="shared" si="10"/>
        <v>5191.2234837167607</v>
      </c>
    </row>
    <row r="35" spans="1:19" x14ac:dyDescent="0.2">
      <c r="A35" s="143"/>
      <c r="B35" s="120">
        <v>19532</v>
      </c>
      <c r="C35" s="88" t="s">
        <v>28</v>
      </c>
      <c r="D35" s="121">
        <f t="shared" si="2"/>
        <v>53.788224912761571</v>
      </c>
      <c r="E35" s="123">
        <f t="shared" si="0"/>
        <v>53.788224912761571</v>
      </c>
      <c r="F35" s="122">
        <v>53.788224912761571</v>
      </c>
      <c r="G35" s="123">
        <v>33.909914920023468</v>
      </c>
      <c r="H35" s="124">
        <f t="shared" si="3"/>
        <v>1823.9541304908316</v>
      </c>
      <c r="I35" s="124">
        <f t="shared" ca="1" si="4"/>
        <v>2939.120171592423</v>
      </c>
      <c r="J35" s="124">
        <f t="shared" ca="1" si="5"/>
        <v>54.64244593234568</v>
      </c>
      <c r="K35" s="124">
        <v>7448.0643343304282</v>
      </c>
      <c r="L35" s="125">
        <f t="shared" ca="1" si="6"/>
        <v>2.6074697700179492E-2</v>
      </c>
      <c r="M35" s="125">
        <f t="shared" si="7"/>
        <v>2.572368479806866E-2</v>
      </c>
      <c r="N35" s="121">
        <v>138.47016417460046</v>
      </c>
      <c r="O35" s="121">
        <f t="shared" si="1"/>
        <v>7.2217723287962259E-3</v>
      </c>
      <c r="P35" s="121">
        <v>0.82668571428571447</v>
      </c>
      <c r="Q35" s="121">
        <f t="shared" ca="1" si="14"/>
        <v>2519.7247331279823</v>
      </c>
      <c r="R35" s="121">
        <f t="shared" si="9"/>
        <v>1290.8559500585236</v>
      </c>
      <c r="S35" s="121">
        <f t="shared" si="10"/>
        <v>7448.0643343304291</v>
      </c>
    </row>
    <row r="36" spans="1:19" x14ac:dyDescent="0.2">
      <c r="A36" s="144"/>
      <c r="B36" s="120">
        <v>19785</v>
      </c>
      <c r="C36" s="88" t="s">
        <v>31</v>
      </c>
      <c r="D36" s="121">
        <f t="shared" si="2"/>
        <v>11.61355881594654</v>
      </c>
      <c r="E36" s="123">
        <f t="shared" si="0"/>
        <v>11.61355881594654</v>
      </c>
      <c r="F36" s="122">
        <v>11.61355881594654</v>
      </c>
      <c r="G36" s="123">
        <v>503.90526581002757</v>
      </c>
      <c r="H36" s="124">
        <f t="shared" si="3"/>
        <v>5852.1334421499305</v>
      </c>
      <c r="I36" s="124">
        <f t="shared" ca="1" si="4"/>
        <v>9430.1293871051766</v>
      </c>
      <c r="J36" s="124">
        <f t="shared" ca="1" si="5"/>
        <v>811.99307951639219</v>
      </c>
      <c r="K36" s="124">
        <v>2170.7134674134418</v>
      </c>
      <c r="L36" s="125">
        <f t="shared" ca="1" si="6"/>
        <v>7.5993835331985291E-3</v>
      </c>
      <c r="M36" s="125">
        <f t="shared" si="7"/>
        <v>5.5540692567893546E-3</v>
      </c>
      <c r="N36" s="121">
        <v>186.91199672858608</v>
      </c>
      <c r="O36" s="121">
        <f t="shared" si="1"/>
        <v>5.3501113759546141E-3</v>
      </c>
      <c r="P36" s="121">
        <v>0.80514312567132096</v>
      </c>
      <c r="Q36" s="121">
        <f t="shared" ca="1" si="14"/>
        <v>8993.8398146305553</v>
      </c>
      <c r="R36" s="121">
        <f t="shared" si="9"/>
        <v>422.97844132335217</v>
      </c>
      <c r="S36" s="121">
        <f t="shared" si="10"/>
        <v>2170.7134674134418</v>
      </c>
    </row>
    <row r="37" spans="1:19" x14ac:dyDescent="0.2">
      <c r="A37" s="147" t="s">
        <v>55</v>
      </c>
      <c r="B37" s="120">
        <v>19022</v>
      </c>
      <c r="C37" s="88" t="s">
        <v>35</v>
      </c>
      <c r="D37" s="121">
        <f t="shared" si="2"/>
        <v>53.721571592274145</v>
      </c>
      <c r="E37" s="123">
        <f t="shared" si="0"/>
        <v>53.721571592274145</v>
      </c>
      <c r="F37" s="122">
        <v>53.721571592274145</v>
      </c>
      <c r="G37" s="123">
        <v>18.350778807052567</v>
      </c>
      <c r="H37" s="124">
        <f t="shared" si="3"/>
        <v>985.83267745706166</v>
      </c>
      <c r="I37" s="124">
        <f t="shared" ca="1" si="4"/>
        <v>1588.571038981828</v>
      </c>
      <c r="J37" s="124">
        <f t="shared" ca="1" si="5"/>
        <v>29.570449856502059</v>
      </c>
      <c r="K37" s="124">
        <v>6329.6937379407118</v>
      </c>
      <c r="L37" s="125">
        <f t="shared" ca="1" si="6"/>
        <v>2.2159428724424484E-2</v>
      </c>
      <c r="M37" s="125">
        <f t="shared" si="7"/>
        <v>2.569180850897855E-2</v>
      </c>
      <c r="N37" s="121">
        <v>117.82406117938298</v>
      </c>
      <c r="O37" s="121">
        <f t="shared" si="1"/>
        <v>8.487230791319739E-3</v>
      </c>
      <c r="P37" s="121">
        <v>0.80482281307083403</v>
      </c>
      <c r="Q37" s="121">
        <f ca="1">+I37/(1+(K37/SUM($K$36:$K$41)))</f>
        <v>1282.9782972692196</v>
      </c>
      <c r="R37" s="121">
        <f t="shared" si="9"/>
        <v>1235.4118178944257</v>
      </c>
      <c r="S37" s="121">
        <f t="shared" si="10"/>
        <v>6329.6937379407118</v>
      </c>
    </row>
    <row r="38" spans="1:19" x14ac:dyDescent="0.2">
      <c r="A38" s="143"/>
      <c r="B38" s="120">
        <v>19392</v>
      </c>
      <c r="C38" s="88" t="s">
        <v>36</v>
      </c>
      <c r="D38" s="121">
        <f t="shared" si="2"/>
        <v>12.174776162429792</v>
      </c>
      <c r="E38" s="123">
        <f t="shared" si="0"/>
        <v>12.174776162429792</v>
      </c>
      <c r="F38" s="122">
        <v>12.174776162429792</v>
      </c>
      <c r="G38" s="123">
        <v>73.106255556075411</v>
      </c>
      <c r="H38" s="124">
        <f t="shared" si="3"/>
        <v>890.05229746860743</v>
      </c>
      <c r="I38" s="124">
        <f t="shared" ca="1" si="4"/>
        <v>1434.2305091620908</v>
      </c>
      <c r="J38" s="124">
        <f t="shared" ca="1" si="5"/>
        <v>117.80343967127631</v>
      </c>
      <c r="K38" s="124">
        <v>2821.4278032933798</v>
      </c>
      <c r="L38" s="125">
        <f t="shared" ca="1" si="6"/>
        <v>9.8774491936998061E-3</v>
      </c>
      <c r="M38" s="125">
        <f t="shared" si="7"/>
        <v>5.8224658835149649E-3</v>
      </c>
      <c r="N38" s="121">
        <v>231.74371057432984</v>
      </c>
      <c r="O38" s="121">
        <f t="shared" si="1"/>
        <v>4.315111713373807E-3</v>
      </c>
      <c r="P38" s="121">
        <v>0.88170786163522008</v>
      </c>
      <c r="Q38" s="121">
        <f t="shared" ref="Q38:Q41" ca="1" si="15">+I38/(1+(K38/SUM($K$36:$K$41)))</f>
        <v>1296.5709838447044</v>
      </c>
      <c r="R38" s="121">
        <f t="shared" si="9"/>
        <v>333.75272809341755</v>
      </c>
      <c r="S38" s="121">
        <f t="shared" si="10"/>
        <v>2821.4278032933798</v>
      </c>
    </row>
    <row r="39" spans="1:19" x14ac:dyDescent="0.2">
      <c r="A39" s="143"/>
      <c r="B39" s="120">
        <v>19397</v>
      </c>
      <c r="C39" s="88" t="s">
        <v>34</v>
      </c>
      <c r="D39" s="121">
        <f t="shared" si="2"/>
        <v>15.681874057399611</v>
      </c>
      <c r="E39" s="123">
        <f t="shared" si="0"/>
        <v>15.681874057399611</v>
      </c>
      <c r="F39" s="122">
        <v>15.681874057399611</v>
      </c>
      <c r="G39" s="123">
        <v>12.443656678019016</v>
      </c>
      <c r="H39" s="124">
        <f t="shared" si="3"/>
        <v>195.13985683821383</v>
      </c>
      <c r="I39" s="124">
        <f t="shared" ca="1" si="4"/>
        <v>314.44841727489643</v>
      </c>
      <c r="J39" s="124">
        <f t="shared" ca="1" si="5"/>
        <v>20.051711684709108</v>
      </c>
      <c r="K39" s="124">
        <v>7298.2931247602401</v>
      </c>
      <c r="L39" s="125">
        <f t="shared" ca="1" si="6"/>
        <v>2.555036831224276E-2</v>
      </c>
      <c r="M39" s="125">
        <f t="shared" si="7"/>
        <v>7.4997006491628942E-3</v>
      </c>
      <c r="N39" s="121">
        <v>465.39674391253544</v>
      </c>
      <c r="O39" s="121">
        <f t="shared" si="1"/>
        <v>2.1487043325510145E-3</v>
      </c>
      <c r="P39" s="121">
        <v>0.92619245738422107</v>
      </c>
      <c r="Q39" s="121">
        <f t="shared" ca="1" si="15"/>
        <v>246.69604368924254</v>
      </c>
      <c r="R39" s="121">
        <f t="shared" si="9"/>
        <v>538.66908082818782</v>
      </c>
      <c r="S39" s="121">
        <f t="shared" si="10"/>
        <v>7298.2931247602401</v>
      </c>
    </row>
    <row r="40" spans="1:19" x14ac:dyDescent="0.2">
      <c r="A40" s="143"/>
      <c r="B40" s="120">
        <v>19622</v>
      </c>
      <c r="C40" s="88" t="s">
        <v>37</v>
      </c>
      <c r="D40" s="121">
        <f t="shared" si="2"/>
        <v>6.7378573425806518</v>
      </c>
      <c r="E40" s="123">
        <f t="shared" si="0"/>
        <v>6.7378573425806518</v>
      </c>
      <c r="F40" s="122">
        <v>6.7378573425806518</v>
      </c>
      <c r="G40" s="123">
        <v>52.582953552951302</v>
      </c>
      <c r="H40" s="124">
        <f t="shared" si="3"/>
        <v>354.29643969133031</v>
      </c>
      <c r="I40" s="124">
        <f t="shared" ca="1" si="4"/>
        <v>570.91337726785105</v>
      </c>
      <c r="J40" s="124">
        <f t="shared" ca="1" si="5"/>
        <v>84.732185358081026</v>
      </c>
      <c r="K40" s="124">
        <v>3490.710435117443</v>
      </c>
      <c r="L40" s="125">
        <f t="shared" ca="1" si="6"/>
        <v>1.2220520026258857E-2</v>
      </c>
      <c r="M40" s="125">
        <f t="shared" si="7"/>
        <v>3.2223134110859167E-3</v>
      </c>
      <c r="N40" s="121">
        <v>518.07425679043445</v>
      </c>
      <c r="O40" s="121">
        <f t="shared" si="1"/>
        <v>1.9302252271618057E-3</v>
      </c>
      <c r="P40" s="121">
        <v>0.92648809523809494</v>
      </c>
      <c r="Q40" s="121">
        <f t="shared" ca="1" si="15"/>
        <v>504.62685815765735</v>
      </c>
      <c r="R40" s="121">
        <f t="shared" si="9"/>
        <v>256.60877305774164</v>
      </c>
      <c r="S40" s="121">
        <f t="shared" si="10"/>
        <v>3490.710435117443</v>
      </c>
    </row>
    <row r="41" spans="1:19" x14ac:dyDescent="0.2">
      <c r="A41" s="144"/>
      <c r="B41" s="120">
        <v>19760</v>
      </c>
      <c r="C41" s="88" t="s">
        <v>33</v>
      </c>
      <c r="D41" s="121">
        <f t="shared" si="2"/>
        <v>18.636131639700817</v>
      </c>
      <c r="E41" s="123">
        <f t="shared" si="0"/>
        <v>18.636131639700817</v>
      </c>
      <c r="F41" s="122">
        <v>18.636131639700817</v>
      </c>
      <c r="G41" s="123">
        <v>36.116859711281819</v>
      </c>
      <c r="H41" s="124">
        <f t="shared" si="3"/>
        <v>673.07855199205483</v>
      </c>
      <c r="I41" s="124">
        <f t="shared" ca="1" si="4"/>
        <v>1084.5989579210045</v>
      </c>
      <c r="J41" s="124">
        <f t="shared" ca="1" si="5"/>
        <v>58.1987173566894</v>
      </c>
      <c r="K41" s="124">
        <v>4463.2863554757632</v>
      </c>
      <c r="L41" s="125">
        <f t="shared" ca="1" si="6"/>
        <v>1.5625380937157103E-2</v>
      </c>
      <c r="M41" s="125">
        <f t="shared" si="7"/>
        <v>8.9125450213777217E-3</v>
      </c>
      <c r="N41" s="121">
        <v>239.4963955914306</v>
      </c>
      <c r="O41" s="121">
        <f t="shared" si="1"/>
        <v>4.175428183503656E-3</v>
      </c>
      <c r="P41" s="121">
        <v>0.88776380103507746</v>
      </c>
      <c r="Q41" s="121">
        <f t="shared" ca="1" si="15"/>
        <v>928.62990217526817</v>
      </c>
      <c r="R41" s="121">
        <f t="shared" si="9"/>
        <v>500.94229543060175</v>
      </c>
      <c r="S41" s="121">
        <f t="shared" si="10"/>
        <v>4463.2863554757632</v>
      </c>
    </row>
    <row r="42" spans="1:19" x14ac:dyDescent="0.2">
      <c r="A42" s="147" t="s">
        <v>184</v>
      </c>
      <c r="B42" s="120">
        <v>19533</v>
      </c>
      <c r="C42" s="88" t="s">
        <v>38</v>
      </c>
      <c r="D42" s="121">
        <f t="shared" si="2"/>
        <v>76.127548745606603</v>
      </c>
      <c r="E42" s="123">
        <f t="shared" si="0"/>
        <v>76.127548745606603</v>
      </c>
      <c r="F42" s="122">
        <v>76.127548745606603</v>
      </c>
      <c r="G42" s="123">
        <v>36.534004389925975</v>
      </c>
      <c r="H42" s="124">
        <f t="shared" si="3"/>
        <v>2781.2442000662954</v>
      </c>
      <c r="I42" s="124">
        <f t="shared" ca="1" si="4"/>
        <v>4481.69764463294</v>
      </c>
      <c r="J42" s="124">
        <f t="shared" ca="1" si="5"/>
        <v>58.870904402942351</v>
      </c>
      <c r="K42" s="124">
        <v>2957.4009172438705</v>
      </c>
      <c r="L42" s="125">
        <f t="shared" ca="1" si="6"/>
        <v>1.0353473256122171E-2</v>
      </c>
      <c r="M42" s="125">
        <f t="shared" si="7"/>
        <v>3.6407244737258058E-2</v>
      </c>
      <c r="N42" s="121">
        <v>38.847972461671375</v>
      </c>
      <c r="O42" s="121">
        <f t="shared" si="1"/>
        <v>2.5741369153477221E-2</v>
      </c>
      <c r="P42" s="121">
        <v>0.309090837696335</v>
      </c>
      <c r="Q42" s="121">
        <f ca="1">+I42/(1+(K42/SUM($K$42:$K$44)))</f>
        <v>3366.0379447457126</v>
      </c>
      <c r="R42" s="121">
        <f t="shared" si="9"/>
        <v>2043.2953903290529</v>
      </c>
      <c r="S42" s="121">
        <f t="shared" si="10"/>
        <v>2957.4009172438705</v>
      </c>
    </row>
    <row r="43" spans="1:19" x14ac:dyDescent="0.2">
      <c r="A43" s="143"/>
      <c r="B43" s="120">
        <v>19693</v>
      </c>
      <c r="C43" s="88" t="s">
        <v>39</v>
      </c>
      <c r="D43" s="121">
        <f t="shared" si="2"/>
        <v>13.786712945203202</v>
      </c>
      <c r="E43" s="123">
        <f t="shared" si="0"/>
        <v>13.786712945203202</v>
      </c>
      <c r="F43" s="122">
        <v>13.786712945203202</v>
      </c>
      <c r="G43" s="123">
        <v>4.8940037100463325</v>
      </c>
      <c r="H43" s="124">
        <f t="shared" si="3"/>
        <v>67.472224303168275</v>
      </c>
      <c r="I43" s="124">
        <f t="shared" ca="1" si="4"/>
        <v>108.72476020999764</v>
      </c>
      <c r="J43" s="124">
        <f t="shared" ca="1" si="5"/>
        <v>7.8861988816432227</v>
      </c>
      <c r="K43" s="124">
        <v>3956.3931906614789</v>
      </c>
      <c r="L43" s="125">
        <f t="shared" ca="1" si="6"/>
        <v>1.3850814359113719E-2</v>
      </c>
      <c r="M43" s="125">
        <f t="shared" si="7"/>
        <v>6.5933586538513642E-3</v>
      </c>
      <c r="N43" s="121">
        <v>286.9714634943511</v>
      </c>
      <c r="O43" s="121">
        <f t="shared" si="1"/>
        <v>3.4846670390963263E-3</v>
      </c>
      <c r="P43" s="121">
        <v>0.87424266984505361</v>
      </c>
      <c r="Q43" s="121">
        <f t="shared" ref="Q43:Q44" ca="1" si="16">+I43/(1+(K43/SUM($K$42:$K$44)))</f>
        <v>75.325118694711719</v>
      </c>
      <c r="R43" s="121">
        <f t="shared" si="9"/>
        <v>497.54544470079736</v>
      </c>
      <c r="S43" s="121">
        <f t="shared" si="10"/>
        <v>3956.3931906614785</v>
      </c>
    </row>
    <row r="44" spans="1:19" x14ac:dyDescent="0.2">
      <c r="A44" s="144"/>
      <c r="B44" s="120">
        <v>19701</v>
      </c>
      <c r="C44" s="88" t="s">
        <v>40</v>
      </c>
      <c r="D44" s="121">
        <f t="shared" si="2"/>
        <v>18.764093024894134</v>
      </c>
      <c r="E44" s="123">
        <f t="shared" si="0"/>
        <v>18.764093024894134</v>
      </c>
      <c r="F44" s="122">
        <v>18.764093024894134</v>
      </c>
      <c r="G44" s="123">
        <v>26.554500456737408</v>
      </c>
      <c r="H44" s="124">
        <f t="shared" si="3"/>
        <v>498.27111679981448</v>
      </c>
      <c r="I44" s="124">
        <f t="shared" ca="1" si="4"/>
        <v>802.91421030095944</v>
      </c>
      <c r="J44" s="124">
        <f t="shared" ca="1" si="5"/>
        <v>42.789929107457588</v>
      </c>
      <c r="K44" s="124">
        <v>2008.9300043619337</v>
      </c>
      <c r="L44" s="125">
        <f t="shared" ca="1" si="6"/>
        <v>7.0330008191674389E-3</v>
      </c>
      <c r="M44" s="125">
        <f t="shared" si="7"/>
        <v>8.9737412840239766E-3</v>
      </c>
      <c r="N44" s="121">
        <v>107.06246242206892</v>
      </c>
      <c r="O44" s="121">
        <f t="shared" si="1"/>
        <v>9.3403418656459822E-3</v>
      </c>
      <c r="P44" s="121">
        <v>0.7958265720645521</v>
      </c>
      <c r="Q44" s="121">
        <f t="shared" ca="1" si="16"/>
        <v>655.36120223894306</v>
      </c>
      <c r="R44" s="121">
        <f t="shared" si="9"/>
        <v>410.1701254729503</v>
      </c>
      <c r="S44" s="121">
        <f t="shared" si="10"/>
        <v>2008.9300043619337</v>
      </c>
    </row>
    <row r="45" spans="1:19" x14ac:dyDescent="0.2">
      <c r="A45" s="145" t="s">
        <v>61</v>
      </c>
      <c r="B45" s="145"/>
      <c r="C45" s="145"/>
      <c r="D45" s="126">
        <f>SUM(D3:D44)</f>
        <v>2090.9999999999995</v>
      </c>
      <c r="E45" s="126">
        <f t="shared" ref="E45:S45" si="17">SUM(E3:E44)</f>
        <v>2090.9999999999995</v>
      </c>
      <c r="F45" s="126">
        <f t="shared" si="17"/>
        <v>2090.9999999999995</v>
      </c>
      <c r="G45" s="126">
        <f t="shared" si="17"/>
        <v>10401.726404245996</v>
      </c>
      <c r="H45" s="126">
        <f t="shared" si="17"/>
        <v>177264.06576024732</v>
      </c>
      <c r="I45" s="126">
        <f t="shared" ca="1" si="17"/>
        <v>2090.9999999999995</v>
      </c>
      <c r="J45" s="126">
        <f t="shared" ca="1" si="17"/>
        <v>2090.9999999999995</v>
      </c>
      <c r="K45" s="126">
        <f t="shared" si="17"/>
        <v>285643.36277153302</v>
      </c>
      <c r="L45" s="126">
        <f t="shared" ca="1" si="17"/>
        <v>2090.9999999999995</v>
      </c>
      <c r="M45" s="126">
        <f t="shared" si="17"/>
        <v>1</v>
      </c>
      <c r="N45" s="126">
        <f t="shared" si="17"/>
        <v>13151.733370064752</v>
      </c>
      <c r="O45" s="126">
        <f t="shared" si="17"/>
        <v>0.30539324350194919</v>
      </c>
      <c r="P45" s="126">
        <f t="shared" si="17"/>
        <v>35.320537123705975</v>
      </c>
      <c r="Q45" s="126">
        <f t="shared" ca="1" si="17"/>
        <v>285643.36277153302</v>
      </c>
      <c r="R45" s="126">
        <f t="shared" si="17"/>
        <v>43464.770552359114</v>
      </c>
      <c r="S45" s="126">
        <f t="shared" si="17"/>
        <v>285643.36277153302</v>
      </c>
    </row>
    <row r="48" spans="1:19" x14ac:dyDescent="0.2">
      <c r="A48" t="s">
        <v>206</v>
      </c>
    </row>
    <row r="50" spans="4:9" x14ac:dyDescent="0.2">
      <c r="D50" s="27"/>
      <c r="I50">
        <f ca="1">+H45/I45</f>
        <v>0.62057827649238595</v>
      </c>
    </row>
  </sheetData>
  <mergeCells count="13">
    <mergeCell ref="G1:G2"/>
    <mergeCell ref="A45:C45"/>
    <mergeCell ref="A11:A23"/>
    <mergeCell ref="A24:A26"/>
    <mergeCell ref="A27:A29"/>
    <mergeCell ref="A30:A36"/>
    <mergeCell ref="A37:A41"/>
    <mergeCell ref="A42:A44"/>
    <mergeCell ref="A3:A10"/>
    <mergeCell ref="A1:A2"/>
    <mergeCell ref="B1:B2"/>
    <mergeCell ref="C1:C2"/>
    <mergeCell ref="D1:E1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7105E-B63C-7840-AF14-890D389140B4}">
  <dimension ref="A1:D9"/>
  <sheetViews>
    <sheetView workbookViewId="0">
      <selection activeCell="C7" sqref="C7"/>
    </sheetView>
  </sheetViews>
  <sheetFormatPr baseColWidth="10" defaultRowHeight="16" x14ac:dyDescent="0.2"/>
  <sheetData>
    <row r="1" spans="1:4" ht="34" x14ac:dyDescent="0.2">
      <c r="A1" s="128" t="s">
        <v>134</v>
      </c>
      <c r="B1" s="129" t="s">
        <v>185</v>
      </c>
      <c r="C1" s="129" t="s">
        <v>215</v>
      </c>
      <c r="D1" s="129" t="s">
        <v>214</v>
      </c>
    </row>
    <row r="2" spans="1:4" x14ac:dyDescent="0.2">
      <c r="A2" s="130" t="s">
        <v>54</v>
      </c>
      <c r="B2" s="1">
        <v>507</v>
      </c>
      <c r="C2" s="131">
        <v>168</v>
      </c>
      <c r="D2" s="131">
        <v>85641</v>
      </c>
    </row>
    <row r="3" spans="1:4" x14ac:dyDescent="0.2">
      <c r="A3" s="130" t="s">
        <v>57</v>
      </c>
      <c r="B3" s="1">
        <v>306</v>
      </c>
      <c r="C3" s="132">
        <v>266</v>
      </c>
      <c r="D3" s="132">
        <v>81139</v>
      </c>
    </row>
    <row r="4" spans="1:4" x14ac:dyDescent="0.2">
      <c r="A4" s="130" t="s">
        <v>59</v>
      </c>
      <c r="B4" s="1">
        <v>150</v>
      </c>
      <c r="C4" s="132">
        <v>144</v>
      </c>
      <c r="D4" s="132">
        <v>21562</v>
      </c>
    </row>
    <row r="5" spans="1:4" x14ac:dyDescent="0.2">
      <c r="A5" s="130" t="s">
        <v>58</v>
      </c>
      <c r="B5" s="1">
        <v>707</v>
      </c>
      <c r="C5" s="132">
        <v>27</v>
      </c>
      <c r="D5" s="132">
        <v>19227</v>
      </c>
    </row>
    <row r="6" spans="1:4" x14ac:dyDescent="0.2">
      <c r="A6" s="130" t="s">
        <v>56</v>
      </c>
      <c r="B6" s="1">
        <v>206</v>
      </c>
      <c r="C6" s="132">
        <v>217</v>
      </c>
      <c r="D6" s="132">
        <v>44748</v>
      </c>
    </row>
    <row r="7" spans="1:4" x14ac:dyDescent="0.2">
      <c r="A7" s="130" t="s">
        <v>55</v>
      </c>
      <c r="B7" s="1">
        <v>106</v>
      </c>
      <c r="C7" s="132">
        <v>230</v>
      </c>
      <c r="D7" s="132">
        <v>24403</v>
      </c>
    </row>
    <row r="8" spans="1:4" x14ac:dyDescent="0.2">
      <c r="A8" s="130" t="s">
        <v>184</v>
      </c>
      <c r="B8" s="1">
        <v>109</v>
      </c>
      <c r="C8" s="132">
        <v>82</v>
      </c>
      <c r="D8" s="132">
        <v>8923</v>
      </c>
    </row>
    <row r="9" spans="1:4" x14ac:dyDescent="0.2">
      <c r="A9" s="133" t="s">
        <v>61</v>
      </c>
      <c r="B9" s="134">
        <f>SUM(B2:B8)</f>
        <v>2091</v>
      </c>
      <c r="C9" s="135">
        <f>SUM(C2:C8)</f>
        <v>1134</v>
      </c>
      <c r="D9" s="135">
        <f>SUM(D2:D8)</f>
        <v>285643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A9A3-37D2-9B4C-95A5-345476BDD89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CNPV_2018_DANE_CAUCA</vt:lpstr>
      <vt:lpstr>Consolidado</vt:lpstr>
      <vt:lpstr>Calculos</vt:lpstr>
      <vt:lpstr>Fexpa</vt:lpstr>
      <vt:lpstr>Consolidado (2)</vt:lpstr>
      <vt:lpstr>Hoja1</vt:lpstr>
      <vt:lpstr>Tablas_Consolidadas_Copia</vt:lpstr>
      <vt:lpstr>Hoja4</vt:lpstr>
      <vt:lpstr>Hoja3</vt:lpstr>
      <vt:lpstr>Hoja2</vt:lpstr>
      <vt:lpstr>Calculo de Muestra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Eduardo García Bermúdez</dc:creator>
  <cp:lastModifiedBy>Cristian Eduardo García Bermúdez</cp:lastModifiedBy>
  <dcterms:created xsi:type="dcterms:W3CDTF">2021-11-24T16:47:15Z</dcterms:created>
  <dcterms:modified xsi:type="dcterms:W3CDTF">2022-03-11T21:01:03Z</dcterms:modified>
</cp:coreProperties>
</file>